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Año a año" sheetId="2" state="visible" r:id="rId2"/>
    <sheet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1F1F1F"/>
      <sz val="14"/>
    </font>
    <font>
      <b val="1"/>
      <color rgb="00FFFFFF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F3F4F6"/>
      </patternFill>
    </fill>
    <fill>
      <patternFill patternType="solid">
        <fgColor rgb="00E7F4EA"/>
      </patternFill>
    </fill>
    <fill>
      <patternFill patternType="solid">
        <fgColor rgb="001F1F1F"/>
      </patternFill>
    </fill>
  </fills>
  <borders count="4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1" fontId="6" fillId="2" borderId="2" pivotButton="0" quotePrefix="0" xfId="0"/>
    <xf numFmtId="4" fontId="6" fillId="2" borderId="2" pivotButton="0" quotePrefix="0" xfId="0"/>
    <xf numFmtId="0" fontId="7" fillId="0" borderId="0" pivotButton="0" quotePrefix="0" xfId="0"/>
    <xf numFmtId="10" fontId="6" fillId="2" borderId="2" pivotButton="0" quotePrefix="0" xfId="0"/>
    <xf numFmtId="0" fontId="6" fillId="2" borderId="2" pivotButton="0" quotePrefix="0" xfId="0"/>
    <xf numFmtId="1" fontId="0" fillId="3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8" fillId="0" borderId="0" pivotButton="0" quotePrefix="0" xfId="0"/>
    <xf numFmtId="0" fontId="9" fillId="4" borderId="0" applyAlignment="1" pivotButton="0" quotePrefix="0" xfId="0">
      <alignment horizontal="right"/>
    </xf>
    <xf numFmtId="4" fontId="9" fillId="4" borderId="0" applyAlignment="1" pivotButton="0" quotePrefix="0" xfId="0">
      <alignment horizontal="right"/>
    </xf>
    <xf numFmtId="4" fontId="0" fillId="3" borderId="0" applyAlignment="1" pivotButton="0" quotePrefix="0" xfId="0">
      <alignment horizontal="right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 wrapText="1"/>
    </xf>
    <xf numFmtId="4" fontId="0" fillId="0" borderId="3" pivotButton="0" quotePrefix="0" xfId="0"/>
    <xf numFmtId="0" fontId="0" fillId="0" borderId="3" pivotButton="0" quotePrefix="0" xfId="0"/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Tu dinero, en dinero de hoy</a:t>
            </a:r>
          </a:p>
        </rich>
      </tx>
    </title>
    <plotArea>
      <lineChart>
        <grouping val="standard"/>
        <ser>
          <idx val="0"/>
          <order val="0"/>
          <tx>
            <strRef>
              <f>'Año a año'!K6</f>
            </strRef>
          </tx>
          <spPr>
            <a:ln w="22000"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'Año a año'!$B$7:$B$77</f>
            </numRef>
          </cat>
          <val>
            <numRef>
              <f>'Año a año'!$K$7:$K$77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Edad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5</row>
      <rowOff>0</rowOff>
    </from>
    <ext cx="72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40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</cols>
  <sheetData>
    <row r="2">
      <c r="B2" s="1" t="inlineStr">
        <is>
          <t>Independencia financiera</t>
        </is>
      </c>
      <c r="D2" s="2" t="inlineStr">
        <is>
          <t>Plantilla de skilio.com/calculadoras/independencia-financiera/</t>
        </is>
      </c>
    </row>
    <row r="3">
      <c r="B3" s="3" t="inlineStr">
        <is>
          <t>A qué edad podrías vivir de tus inversiones.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Tus datos</t>
        </is>
      </c>
      <c r="C6" s="6" t="n"/>
    </row>
    <row r="7">
      <c r="B7" t="inlineStr">
        <is>
          <t>Tu edad</t>
        </is>
      </c>
      <c r="C7" s="7" t="n">
        <v>36</v>
      </c>
    </row>
    <row r="8">
      <c r="B8" t="inlineStr">
        <is>
          <t>Lo que ingresas al año (neto)</t>
        </is>
      </c>
      <c r="C8" s="8" t="n">
        <v>25000</v>
      </c>
      <c r="D8" s="9" t="inlineStr">
        <is>
          <t>Lo que te llega a la cuenta en un año, ya sin impuestos.</t>
        </is>
      </c>
    </row>
    <row r="9">
      <c r="B9" t="inlineStr">
        <is>
          <t>Lo que gastas al año</t>
        </is>
      </c>
      <c r="C9" s="8" t="n">
        <v>15000</v>
      </c>
      <c r="D9" s="9" t="inlineStr">
        <is>
          <t>Si lo sabes al mes, multiplícalo por 12.</t>
        </is>
      </c>
    </row>
    <row r="10">
      <c r="B10" t="inlineStr">
        <is>
          <t>Dinero que ya tienes invertido o ahorrado</t>
        </is>
      </c>
      <c r="C10" s="8" t="n">
        <v>20000</v>
      </c>
    </row>
    <row r="11">
      <c r="B11" t="inlineStr">
        <is>
          <t>Rentabilidad anual esperada</t>
        </is>
      </c>
      <c r="C11" s="10" t="n">
        <v>0.05</v>
      </c>
      <c r="D11" s="9" t="inlineStr">
        <is>
          <t>Antes de la inflación. Un 5 % es una cifra prudente.</t>
        </is>
      </c>
    </row>
    <row r="12">
      <c r="B12" t="inlineStr">
        <is>
          <t>Inflación anual</t>
        </is>
      </c>
      <c r="C12" s="10" t="n">
        <v>0.02</v>
      </c>
      <c r="D12" s="9" t="inlineStr">
        <is>
          <t>Cuánto suben tus gastos cada año.</t>
        </is>
      </c>
    </row>
    <row r="13">
      <c r="B13" t="inlineStr">
        <is>
          <t>Subida anual de tus ingresos</t>
        </is>
      </c>
      <c r="C13" s="10" t="n">
        <v>0.01</v>
      </c>
    </row>
    <row r="14">
      <c r="B14" t="inlineStr">
        <is>
          <t>Impuesto sobre las ganancias</t>
        </is>
      </c>
      <c r="C14" s="10" t="n">
        <v>0</v>
      </c>
      <c r="D14" s="9" t="inlineStr">
        <is>
          <t>Se resta de lo que ganan tus inversiones cada año.</t>
        </is>
      </c>
    </row>
    <row r="15">
      <c r="B15" t="inlineStr">
        <is>
          <t>Que el dinero te dure hasta los</t>
        </is>
      </c>
      <c r="C15" s="7" t="n">
        <v>95</v>
      </c>
    </row>
    <row r="16">
      <c r="B16" t="inlineStr">
        <is>
          <t>Cuándo consideras que ya eres independiente</t>
        </is>
      </c>
      <c r="C16" s="11" t="inlineStr">
        <is>
          <t>Cuando el dinero me dure toda la vida</t>
        </is>
      </c>
    </row>
    <row r="17">
      <c r="B17" t="inlineStr">
        <is>
          <t>Con la regla: parte de tu dinero que sacarías al año</t>
        </is>
      </c>
      <c r="C17" s="10" t="n">
        <v>0.04</v>
      </c>
    </row>
    <row r="19">
      <c r="B19" s="5" t="inlineStr">
        <is>
          <t>Opcional: un gasto y un ingreso de unos años (con precios de hoy)</t>
        </is>
      </c>
      <c r="C19" s="6" t="n"/>
    </row>
    <row r="20">
      <c r="B20" t="inlineStr">
        <is>
          <t>Gasto extra al año</t>
        </is>
      </c>
      <c r="C20" s="8" t="n">
        <v>0</v>
      </c>
      <c r="D20" s="9" t="inlineStr">
        <is>
          <t>Por ejemplo, los estudios de tus hijos.</t>
        </is>
      </c>
    </row>
    <row r="21">
      <c r="B21" t="inlineStr">
        <is>
          <t>Desde los (años)</t>
        </is>
      </c>
      <c r="C21" s="7" t="n">
        <v>45</v>
      </c>
    </row>
    <row r="22">
      <c r="B22" t="inlineStr">
        <is>
          <t>Hasta los (años)</t>
        </is>
      </c>
      <c r="C22" s="7" t="n">
        <v>55</v>
      </c>
    </row>
    <row r="23">
      <c r="B23" t="inlineStr">
        <is>
          <t>Ingreso extra al año</t>
        </is>
      </c>
      <c r="C23" s="8" t="n">
        <v>0</v>
      </c>
      <c r="D23" s="9" t="inlineStr">
        <is>
          <t>Por ejemplo, la pensión pública o un alquiler.</t>
        </is>
      </c>
    </row>
    <row r="24">
      <c r="B24" t="inlineStr">
        <is>
          <t>Desde los (años)</t>
        </is>
      </c>
      <c r="C24" s="7" t="n">
        <v>67</v>
      </c>
    </row>
    <row r="25">
      <c r="B25" t="inlineStr">
        <is>
          <t>Hasta los (años)</t>
        </is>
      </c>
      <c r="C25" s="7" t="n">
        <v>95</v>
      </c>
    </row>
    <row r="27">
      <c r="B27" s="5" t="inlineStr">
        <is>
          <t>Datos que se calculan</t>
        </is>
      </c>
      <c r="C27" s="6" t="n"/>
    </row>
    <row r="28">
      <c r="B28" t="inlineStr">
        <is>
          <t>Años que calcula la plantilla</t>
        </is>
      </c>
      <c r="C28" s="12">
        <f>MAX(0,ROUND($C$15-$C$7,0))</f>
        <v>59</v>
      </c>
    </row>
    <row r="29">
      <c r="B29" t="inlineStr">
        <is>
          <t>Rentabilidad neta de impuestos</t>
        </is>
      </c>
      <c r="C29" s="13">
        <f>IF($C$11&gt;0,$C$11*(1-$C$14),$C$11)</f>
        <v>0.05</v>
      </c>
    </row>
    <row r="30">
      <c r="B30" t="inlineStr">
        <is>
          <t>Años hasta que lo consigues</t>
        </is>
      </c>
      <c r="C30" s="12">
        <f>IFERROR(MATCH("Sí",'Año a año'!$H$7:$H$111,0)-1,"No llegas")</f>
        <v>26</v>
      </c>
    </row>
    <row r="32">
      <c r="B32" s="5" t="inlineStr">
        <is>
          <t>Resultados</t>
        </is>
      </c>
      <c r="C32" s="6" t="n"/>
    </row>
    <row r="33">
      <c r="B33" s="14" t="inlineStr">
        <is>
          <t>Podrías vivir de tus inversiones a los</t>
        </is>
      </c>
      <c r="C33" s="15" t="str">
        <f>IF(ISNUMBER($C$30),$C$7+$C$30&amp;" años","No antes de los "&amp;$C$15)</f>
        <v>62 años</v>
      </c>
    </row>
    <row r="34">
      <c r="B34" s="14" t="inlineStr">
        <is>
          <t>Dinero que habrás reunido (en dinero de hoy)</t>
        </is>
      </c>
      <c r="C34" s="16">
        <f>IF(ISNUMBER($C$30),INDEX('Año a año'!$F$7:$F$111,$C$30+1)/(1+$C$12)^$C$30,"")</f>
        <v>324334.0056013597</v>
      </c>
    </row>
    <row r="35">
      <c r="B35" t="inlineStr">
        <is>
          <t>Dinero que habrás reunido (en dinero de entonces)</t>
        </is>
      </c>
      <c r="C35" s="17">
        <f>IF(ISNUMBER($C$30),INDEX('Año a año'!$F$7:$F$111,$C$30+1),"")</f>
        <v>542746.4000743153</v>
      </c>
    </row>
    <row r="36">
      <c r="B36" t="inlineStr">
        <is>
          <t>Ahorras al año</t>
        </is>
      </c>
      <c r="C36" s="17">
        <f>$C$8-$C$9</f>
        <v>10000</v>
      </c>
    </row>
    <row r="37">
      <c r="B37" t="inlineStr">
        <is>
          <t>Tu tasa de ahorro</t>
        </is>
      </c>
      <c r="C37" s="13">
        <f>IF($C$8&gt;0,($C$8-$C$9)/$C$8,"")</f>
        <v>0.4</v>
      </c>
    </row>
    <row r="38">
      <c r="B38" t="inlineStr">
        <is>
          <t>Lo que pide la regla del 4 % (25 veces tus gastos)</t>
        </is>
      </c>
      <c r="C38" s="17">
        <f>$C$9/0.04</f>
        <v>375000</v>
      </c>
    </row>
    <row r="39">
      <c r="B39" t="inlineStr">
        <is>
          <t>Tus gastos al año cuando lo consigas (dinero de entonces)</t>
        </is>
      </c>
      <c r="C39" s="17">
        <f>IF(ISNUMBER($C$30),INDEX('Año a año'!$D$7:$D$111,$C$30+1),"")</f>
        <v>25101.271715310377</v>
      </c>
    </row>
    <row r="40">
      <c r="B40" t="inlineStr">
        <is>
          <t>Te quedaría al final (dinero de hoy)</t>
        </is>
      </c>
      <c r="C40" s="17">
        <f>IF(ISNUMBER($C$30),INDEX('Año a año'!$K$7:$K$111,$C$28),"")</f>
        <v>2706.06499737347</v>
      </c>
    </row>
  </sheetData>
  <dataValidations count="1">
    <dataValidation sqref="C16" showDropDown="0" showInputMessage="0" showErrorMessage="0" allowBlank="1" errorTitle="Valor no válido" error="Elige una de las opciones de la lista." type="list">
      <formula1>"Cuando el dinero me dure toda la vida,Con la regla del 4 %"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K111"/>
  <sheetViews>
    <sheetView showGridLines="0" tabSelected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  <col width="13" customWidth="1" min="4" max="4"/>
    <col width="12" customWidth="1" min="5" max="5"/>
    <col width="17" customWidth="1" min="6" max="6"/>
    <col width="17" customWidth="1" min="7" max="7"/>
    <col width="11" customWidth="1" min="8" max="8"/>
    <col width="17" customWidth="1" min="9" max="9"/>
    <col width="17" customWidth="1" min="10" max="10"/>
    <col width="17" customWidth="1" min="11" max="11"/>
  </cols>
  <sheetData>
    <row r="2">
      <c r="B2" s="18" t="inlineStr">
        <is>
          <t>Año a año</t>
        </is>
      </c>
    </row>
    <row r="3">
      <c r="B3" s="9" t="inlineStr">
        <is>
          <t>Columnas F-H: si sigues trabajando. Columnas I-K: tu camino (trabajas hasta que lo consigues y después vives de tus inversiones).</t>
        </is>
      </c>
    </row>
    <row r="4">
      <c r="B4" s="2" t="inlineStr">
        <is>
          <t>Plantilla de skilio.com/calculadoras/independencia-financiera/</t>
        </is>
      </c>
    </row>
    <row r="6" ht="60" customHeight="1">
      <c r="A6" s="19" t="inlineStr">
        <is>
          <t>Año</t>
        </is>
      </c>
      <c r="B6" s="19" t="inlineStr">
        <is>
          <t>Edad</t>
        </is>
      </c>
      <c r="C6" s="19" t="inlineStr">
        <is>
          <t>Ingresos del trabajo</t>
        </is>
      </c>
      <c r="D6" s="19" t="inlineStr">
        <is>
          <t>Gastos</t>
        </is>
      </c>
      <c r="E6" s="19" t="inlineStr">
        <is>
          <t>Ingresos extra</t>
        </is>
      </c>
      <c r="F6" s="19" t="inlineStr">
        <is>
          <t>Capital al empezar el año (si sigues trabajando)</t>
        </is>
      </c>
      <c r="G6" s="19" t="inlineStr">
        <is>
          <t>Capital que necesitas para dejar de trabajar</t>
        </is>
      </c>
      <c r="H6" s="19" t="inlineStr">
        <is>
          <t>¿Puedes dejarlo?</t>
        </is>
      </c>
      <c r="I6" s="19" t="inlineStr">
        <is>
          <t>Capital al empezar el año (tu camino)</t>
        </is>
      </c>
      <c r="J6" s="19" t="inlineStr">
        <is>
          <t>Capital al acabar el año (tu camino)</t>
        </is>
      </c>
      <c r="K6" s="19" t="inlineStr">
        <is>
          <t>Al acabar el año, en dinero de hoy</t>
        </is>
      </c>
    </row>
    <row r="7">
      <c r="A7">
        <f>IF(0&lt;'Calculadora'!$C$28,0,"")</f>
        <v>0</v>
      </c>
      <c r="B7">
        <f>IF(A7="","",'Calculadora'!$C$7+A7)</f>
        <v>36</v>
      </c>
      <c r="C7" s="20">
        <f>IF(A7="","",'Calculadora'!$C$8*(1+'Calculadora'!$C$13)^A7)</f>
        <v>25000</v>
      </c>
      <c r="D7" s="20">
        <f>IF(A7="","",('Calculadora'!$C$9+IF(AND(B7&gt;='Calculadora'!$C$21,B7&lt;='Calculadora'!$C$22),'Calculadora'!$C$20,0))*(1+'Calculadora'!$C$12)^A7)</f>
        <v>15000</v>
      </c>
      <c r="E7" s="20">
        <f>IF(A7="","",IF(AND(B7&gt;='Calculadora'!$C$24,B7&lt;='Calculadora'!$C$25),'Calculadora'!$C$23,0)*(1+'Calculadora'!$C$12)^A7)</f>
        <v>0</v>
      </c>
      <c r="F7" s="20">
        <f>IF(A7="","",'Calculadora'!$C$10)</f>
        <v>20000</v>
      </c>
      <c r="G7" s="20">
        <f>IF(A7="","",D7-E7+IF(A8="",0,MAX(0,G8/(1+'Calculadora'!$C$29))))</f>
        <v>430070.5876930998</v>
      </c>
      <c r="H7" s="21" t="str">
        <f>IF(A7="","",IF('Calculadora'!$C$16="Con la regla del 4 %",IF(F7*'Calculadora'!$C$17&gt;=D7-E7-1E-9,"Sí","No"),IF(F7&gt;=G7-0.005,"Sí","No")))</f>
        <v>No</v>
      </c>
      <c r="I7" s="20">
        <f>IF(A7="","",'Calculadora'!$C$10)</f>
        <v>20000</v>
      </c>
      <c r="J7" s="20">
        <f>IF(A7="","",IF(A7&lt;IF(ISNUMBER('Calculadora'!$C$30),'Calculadora'!$C$30,'Calculadora'!$C$28),I7*(1+'Calculadora'!$C$29)+C7+E7-D7,MAX(0,I7-D7+E7)*(1+'Calculadora'!$C$29)))</f>
        <v>31000</v>
      </c>
      <c r="K7" s="20">
        <f>IF(A7="","",J7/(1+'Calculadora'!$C$12)^(A7+1))</f>
        <v>30392.156862745098</v>
      </c>
    </row>
    <row r="8">
      <c r="A8">
        <f>IF(1&lt;'Calculadora'!$C$28,1,"")</f>
        <v>1</v>
      </c>
      <c r="B8">
        <f>IF(A8="","",'Calculadora'!$C$7+A8)</f>
        <v>37</v>
      </c>
      <c r="C8" s="20">
        <f>IF(A8="","",'Calculadora'!$C$8*(1+'Calculadora'!$C$13)^A8)</f>
        <v>25250</v>
      </c>
      <c r="D8" s="20">
        <f>IF(A8="","",('Calculadora'!$C$9+IF(AND(B8&gt;='Calculadora'!$C$21,B8&lt;='Calculadora'!$C$22),'Calculadora'!$C$20,0))*(1+'Calculadora'!$C$12)^A8)</f>
        <v>15300</v>
      </c>
      <c r="E8" s="20">
        <f>IF(A8="","",IF(AND(B8&gt;='Calculadora'!$C$24,B8&lt;='Calculadora'!$C$25),'Calculadora'!$C$23,0)*(1+'Calculadora'!$C$12)^A8)</f>
        <v>0</v>
      </c>
      <c r="F8" s="20">
        <f>IF(A8="","",F7*(1+'Calculadora'!$C$29)+C7+E7-D7)</f>
        <v>31000</v>
      </c>
      <c r="G8" s="20">
        <f>IF(A8="","",D8-E8+IF(A9="",0,MAX(0,G9/(1+'Calculadora'!$C$29))))</f>
        <v>435824.1170777548</v>
      </c>
      <c r="H8" s="21" t="str">
        <f>IF(A8="","",IF('Calculadora'!$C$16="Con la regla del 4 %",IF(F8*'Calculadora'!$C$17&gt;=D8-E8-1E-9,"Sí","No"),IF(F8&gt;=G8-0.005,"Sí","No")))</f>
        <v>No</v>
      </c>
      <c r="I8" s="20">
        <f>IF(A8="","",J7)</f>
        <v>31000</v>
      </c>
      <c r="J8" s="20">
        <f>IF(A8="","",IF(A8&lt;IF(ISNUMBER('Calculadora'!$C$30),'Calculadora'!$C$30,'Calculadora'!$C$28),I8*(1+'Calculadora'!$C$29)+C8+E8-D8,MAX(0,I8-D8+E8)*(1+'Calculadora'!$C$29)))</f>
        <v>42500</v>
      </c>
      <c r="K8" s="20">
        <f>IF(A8="","",J8/(1+'Calculadora'!$C$12)^(A8+1))</f>
        <v>40849.67320261438</v>
      </c>
    </row>
    <row r="9">
      <c r="A9">
        <f>IF(2&lt;'Calculadora'!$C$28,2,"")</f>
        <v>2</v>
      </c>
      <c r="B9">
        <f>IF(A9="","",'Calculadora'!$C$7+A9)</f>
        <v>38</v>
      </c>
      <c r="C9" s="20">
        <f>IF(A9="","",'Calculadora'!$C$8*(1+'Calculadora'!$C$13)^A9)</f>
        <v>25502.5</v>
      </c>
      <c r="D9" s="20">
        <f>IF(A9="","",('Calculadora'!$C$9+IF(AND(B9&gt;='Calculadora'!$C$21,B9&lt;='Calculadora'!$C$22),'Calculadora'!$C$20,0))*(1+'Calculadora'!$C$12)^A9)</f>
        <v>15606</v>
      </c>
      <c r="E9" s="20">
        <f>IF(A9="","",IF(AND(B9&gt;='Calculadora'!$C$24,B9&lt;='Calculadora'!$C$25),'Calculadora'!$C$23,0)*(1+'Calculadora'!$C$12)^A9)</f>
        <v>0</v>
      </c>
      <c r="F9" s="20">
        <f>IF(A9="","",F8*(1+'Calculadora'!$C$29)+C8+E8-D8)</f>
        <v>42500</v>
      </c>
      <c r="G9" s="20">
        <f>IF(A9="","",D9-E9+IF(A10="",0,MAX(0,G10/(1+'Calculadora'!$C$29))))</f>
        <v>441550.3229316426</v>
      </c>
      <c r="H9" s="21" t="str">
        <f>IF(A9="","",IF('Calculadora'!$C$16="Con la regla del 4 %",IF(F9*'Calculadora'!$C$17&gt;=D9-E9-1E-9,"Sí","No"),IF(F9&gt;=G9-0.005,"Sí","No")))</f>
        <v>No</v>
      </c>
      <c r="I9" s="20">
        <f>IF(A9="","",J8)</f>
        <v>42500</v>
      </c>
      <c r="J9" s="20">
        <f>IF(A9="","",IF(A9&lt;IF(ISNUMBER('Calculadora'!$C$30),'Calculadora'!$C$30,'Calculadora'!$C$28),I9*(1+'Calculadora'!$C$29)+C9+E9-D9,MAX(0,I9-D9+E9)*(1+'Calculadora'!$C$29)))</f>
        <v>54521.5</v>
      </c>
      <c r="K9" s="20">
        <f>IF(A9="","",J9/(1+'Calculadora'!$C$12)^(A9+1))</f>
        <v>51376.82716300668</v>
      </c>
    </row>
    <row r="10">
      <c r="A10">
        <f>IF(3&lt;'Calculadora'!$C$28,3,"")</f>
        <v>3</v>
      </c>
      <c r="B10">
        <f>IF(A10="","",'Calculadora'!$C$7+A10)</f>
        <v>39</v>
      </c>
      <c r="C10" s="20">
        <f>IF(A10="","",'Calculadora'!$C$8*(1+'Calculadora'!$C$13)^A10)</f>
        <v>25757.525000000005</v>
      </c>
      <c r="D10" s="20">
        <f>IF(A10="","",('Calculadora'!$C$9+IF(AND(B10&gt;='Calculadora'!$C$21,B10&lt;='Calculadora'!$C$22),'Calculadora'!$C$20,0))*(1+'Calculadora'!$C$12)^A10)</f>
        <v>15918.120000000003</v>
      </c>
      <c r="E10" s="20">
        <f>IF(A10="","",IF(AND(B10&gt;='Calculadora'!$C$24,B10&lt;='Calculadora'!$C$25),'Calculadora'!$C$23,0)*(1+'Calculadora'!$C$12)^A10)</f>
        <v>0</v>
      </c>
      <c r="F10" s="20">
        <f>IF(A10="","",F9*(1+'Calculadora'!$C$29)+C9+E9-D9)</f>
        <v>54521.5</v>
      </c>
      <c r="G10" s="20">
        <f>IF(A10="","",D10-E10+IF(A11="",0,MAX(0,G11/(1+'Calculadora'!$C$29))))</f>
        <v>447241.53907822474</v>
      </c>
      <c r="H10" s="21" t="str">
        <f>IF(A10="","",IF('Calculadora'!$C$16="Con la regla del 4 %",IF(F10*'Calculadora'!$C$17&gt;=D10-E10-1E-9,"Sí","No"),IF(F10&gt;=G10-0.005,"Sí","No")))</f>
        <v>No</v>
      </c>
      <c r="I10" s="20">
        <f>IF(A10="","",J9)</f>
        <v>54521.5</v>
      </c>
      <c r="J10" s="20">
        <f>IF(A10="","",IF(A10&lt;IF(ISNUMBER('Calculadora'!$C$30),'Calculadora'!$C$30,'Calculadora'!$C$28),I10*(1+'Calculadora'!$C$29)+C10+E10-D10,MAX(0,I10-D10+E10)*(1+'Calculadora'!$C$29)))</f>
        <v>67086.98000000001</v>
      </c>
      <c r="K10" s="20">
        <f>IF(A10="","",J10/(1+'Calculadora'!$C$12)^(A10+1))</f>
        <v>61977.99961893225</v>
      </c>
    </row>
    <row r="11">
      <c r="A11">
        <f>IF(4&lt;'Calculadora'!$C$28,4,"")</f>
        <v>4</v>
      </c>
      <c r="B11">
        <f>IF(A11="","",'Calculadora'!$C$7+A11)</f>
        <v>40</v>
      </c>
      <c r="C11" s="20">
        <f>IF(A11="","",'Calculadora'!$C$8*(1+'Calculadora'!$C$13)^A11)</f>
        <v>26015.10025</v>
      </c>
      <c r="D11" s="20">
        <f>IF(A11="","",('Calculadora'!$C$9+IF(AND(B11&gt;='Calculadora'!$C$21,B11&lt;='Calculadora'!$C$22),'Calculadora'!$C$20,0))*(1+'Calculadora'!$C$12)^A11)</f>
        <v>16236.482399999999</v>
      </c>
      <c r="E11" s="20">
        <f>IF(A11="","",IF(AND(B11&gt;='Calculadora'!$C$24,B11&lt;='Calculadora'!$C$25),'Calculadora'!$C$23,0)*(1+'Calculadora'!$C$12)^A11)</f>
        <v>0</v>
      </c>
      <c r="F11" s="20">
        <f>IF(A11="","",F10*(1+'Calculadora'!$C$29)+C10+E10-D10)</f>
        <v>67086.98000000001</v>
      </c>
      <c r="G11" s="20">
        <f>IF(A11="","",D11-E11+IF(A12="",0,MAX(0,G12/(1+'Calculadora'!$C$29))))</f>
        <v>452889.590032136</v>
      </c>
      <c r="H11" s="21" t="str">
        <f>IF(A11="","",IF('Calculadora'!$C$16="Con la regla del 4 %",IF(F11*'Calculadora'!$C$17&gt;=D11-E11-1E-9,"Sí","No"),IF(F11&gt;=G11-0.005,"Sí","No")))</f>
        <v>No</v>
      </c>
      <c r="I11" s="20">
        <f>IF(A11="","",J10)</f>
        <v>67086.98000000001</v>
      </c>
      <c r="J11" s="20">
        <f>IF(A11="","",IF(A11&lt;IF(ISNUMBER('Calculadora'!$C$30),'Calculadora'!$C$30,'Calculadora'!$C$28),I11*(1+'Calculadora'!$C$29)+C11+E11-D11,MAX(0,I11-D11+E11)*(1+'Calculadora'!$C$29)))</f>
        <v>80219.94685000002</v>
      </c>
      <c r="K11" s="20">
        <f>IF(A11="","",J11/(1+'Calculadora'!$C$12)^(A11+1))</f>
        <v>72657.67742496333</v>
      </c>
    </row>
    <row r="12">
      <c r="A12">
        <f>IF(5&lt;'Calculadora'!$C$28,5,"")</f>
        <v>5</v>
      </c>
      <c r="B12">
        <f>IF(A12="","",'Calculadora'!$C$7+A12)</f>
        <v>41</v>
      </c>
      <c r="C12" s="20">
        <f>IF(A12="","",'Calculadora'!$C$8*(1+'Calculadora'!$C$13)^A12)</f>
        <v>26275.251252500002</v>
      </c>
      <c r="D12" s="20">
        <f>IF(A12="","",('Calculadora'!$C$9+IF(AND(B12&gt;='Calculadora'!$C$21,B12&lt;='Calculadora'!$C$22),'Calculadora'!$C$20,0))*(1+'Calculadora'!$C$12)^A12)</f>
        <v>16561.212048</v>
      </c>
      <c r="E12" s="20">
        <f>IF(A12="","",IF(AND(B12&gt;='Calculadora'!$C$24,B12&lt;='Calculadora'!$C$25),'Calculadora'!$C$23,0)*(1+'Calculadora'!$C$12)^A12)</f>
        <v>0</v>
      </c>
      <c r="F12" s="20">
        <f>IF(A12="","",F11*(1+'Calculadora'!$C$29)+C11+E11-D11)</f>
        <v>80219.94685000002</v>
      </c>
      <c r="G12" s="20">
        <f>IF(A12="","",D12-E12+IF(A13="",0,MAX(0,G13/(1+'Calculadora'!$C$29))))</f>
        <v>458485.76301374286</v>
      </c>
      <c r="H12" s="21" t="str">
        <f>IF(A12="","",IF('Calculadora'!$C$16="Con la regla del 4 %",IF(F12*'Calculadora'!$C$17&gt;=D12-E12-1E-9,"Sí","No"),IF(F12&gt;=G12-0.005,"Sí","No")))</f>
        <v>No</v>
      </c>
      <c r="I12" s="20">
        <f>IF(A12="","",J11)</f>
        <v>80219.94685000002</v>
      </c>
      <c r="J12" s="20">
        <f>IF(A12="","",IF(A12&lt;IF(ISNUMBER('Calculadora'!$C$30),'Calculadora'!$C$30,'Calculadora'!$C$28),I12*(1+'Calculadora'!$C$29)+C12+E12-D12,MAX(0,I12-D12+E12)*(1+'Calculadora'!$C$29)))</f>
        <v>93944.98339700003</v>
      </c>
      <c r="K12" s="20">
        <f>IF(A12="","",J12/(1+'Calculadora'!$C$12)^(A12+1))</f>
        <v>83420.45675649297</v>
      </c>
    </row>
    <row r="13">
      <c r="A13">
        <f>IF(6&lt;'Calculadora'!$C$28,6,"")</f>
        <v>6</v>
      </c>
      <c r="B13">
        <f>IF(A13="","",'Calculadora'!$C$7+A13)</f>
        <v>42</v>
      </c>
      <c r="C13" s="20">
        <f>IF(A13="","",'Calculadora'!$C$8*(1+'Calculadora'!$C$13)^A13)</f>
        <v>26538.003765025005</v>
      </c>
      <c r="D13" s="20">
        <f>IF(A13="","",('Calculadora'!$C$9+IF(AND(B13&gt;='Calculadora'!$C$21,B13&lt;='Calculadora'!$C$22),'Calculadora'!$C$20,0))*(1+'Calculadora'!$C$12)^A13)</f>
        <v>16892.43628896</v>
      </c>
      <c r="E13" s="20">
        <f>IF(A13="","",IF(AND(B13&gt;='Calculadora'!$C$24,B13&lt;='Calculadora'!$C$25),'Calculadora'!$C$23,0)*(1+'Calculadora'!$C$12)^A13)</f>
        <v>0</v>
      </c>
      <c r="F13" s="20">
        <f>IF(A13="","",F12*(1+'Calculadora'!$C$29)+C12+E12-D12)</f>
        <v>93944.98339700003</v>
      </c>
      <c r="G13" s="20">
        <f>IF(A13="","",D13-E13+IF(A14="",0,MAX(0,G14/(1+'Calculadora'!$C$29))))</f>
        <v>464020.77851403004</v>
      </c>
      <c r="H13" s="21" t="str">
        <f>IF(A13="","",IF('Calculadora'!$C$16="Con la regla del 4 %",IF(F13*'Calculadora'!$C$17&gt;=D13-E13-1E-9,"Sí","No"),IF(F13&gt;=G13-0.005,"Sí","No")))</f>
        <v>No</v>
      </c>
      <c r="I13" s="20">
        <f>IF(A13="","",J12)</f>
        <v>93944.98339700003</v>
      </c>
      <c r="J13" s="20">
        <f>IF(A13="","",IF(A13&lt;IF(ISNUMBER('Calculadora'!$C$30),'Calculadora'!$C$30,'Calculadora'!$C$28),I13*(1+'Calculadora'!$C$29)+C13+E13-D13,MAX(0,I13-D13+E13)*(1+'Calculadora'!$C$29)))</f>
        <v>108287.80004291504</v>
      </c>
      <c r="K13" s="20">
        <f>IF(A13="","",J13/(1+'Calculadora'!$C$12)^(A13+1))</f>
        <v>94271.04654706789</v>
      </c>
    </row>
    <row r="14">
      <c r="A14">
        <f>IF(7&lt;'Calculadora'!$C$28,7,"")</f>
        <v>7</v>
      </c>
      <c r="B14">
        <f>IF(A14="","",'Calculadora'!$C$7+A14)</f>
        <v>43</v>
      </c>
      <c r="C14" s="20">
        <f>IF(A14="","",'Calculadora'!$C$8*(1+'Calculadora'!$C$13)^A14)</f>
        <v>26803.383802675253</v>
      </c>
      <c r="D14" s="20">
        <f>IF(A14="","",('Calculadora'!$C$9+IF(AND(B14&gt;='Calculadora'!$C$21,B14&lt;='Calculadora'!$C$22),'Calculadora'!$C$20,0))*(1+'Calculadora'!$C$12)^A14)</f>
        <v>17230.285014739202</v>
      </c>
      <c r="E14" s="20">
        <f>IF(A14="","",IF(AND(B14&gt;='Calculadora'!$C$24,B14&lt;='Calculadora'!$C$25),'Calculadora'!$C$23,0)*(1+'Calculadora'!$C$12)^A14)</f>
        <v>0</v>
      </c>
      <c r="F14" s="20">
        <f>IF(A14="","",F13*(1+'Calculadora'!$C$29)+C13+E13-D13)</f>
        <v>108287.80004291504</v>
      </c>
      <c r="G14" s="20">
        <f>IF(A14="","",D14-E14+IF(A15="",0,MAX(0,G15/(1+'Calculadora'!$C$29))))</f>
        <v>469484.7593363236</v>
      </c>
      <c r="H14" s="21" t="str">
        <f>IF(A14="","",IF('Calculadora'!$C$16="Con la regla del 4 %",IF(F14*'Calculadora'!$C$17&gt;=D14-E14-1E-9,"Sí","No"),IF(F14&gt;=G14-0.005,"Sí","No")))</f>
        <v>No</v>
      </c>
      <c r="I14" s="20">
        <f>IF(A14="","",J13)</f>
        <v>108287.80004291504</v>
      </c>
      <c r="J14" s="20">
        <f>IF(A14="","",IF(A14&lt;IF(ISNUMBER('Calculadora'!$C$30),'Calculadora'!$C$30,'Calculadora'!$C$28),I14*(1+'Calculadora'!$C$29)+C14+E14-D14,MAX(0,I14-D14+E14)*(1+'Calculadora'!$C$29)))</f>
        <v>123275.28883299686</v>
      </c>
      <c r="K14" s="20">
        <f>IF(A14="","",J14/(1+'Calculadora'!$C$12)^(A14+1))</f>
        <v>105214.27202464269</v>
      </c>
    </row>
    <row r="15">
      <c r="A15">
        <f>IF(8&lt;'Calculadora'!$C$28,8,"")</f>
        <v>8</v>
      </c>
      <c r="B15">
        <f>IF(A15="","",'Calculadora'!$C$7+A15)</f>
        <v>44</v>
      </c>
      <c r="C15" s="20">
        <f>IF(A15="","",'Calculadora'!$C$8*(1+'Calculadora'!$C$13)^A15)</f>
        <v>27071.417640702006</v>
      </c>
      <c r="D15" s="20">
        <f>IF(A15="","",('Calculadora'!$C$9+IF(AND(B15&gt;='Calculadora'!$C$21,B15&lt;='Calculadora'!$C$22),'Calculadora'!$C$20,0))*(1+'Calculadora'!$C$12)^A15)</f>
        <v>17574.890715033987</v>
      </c>
      <c r="E15" s="20">
        <f>IF(A15="","",IF(AND(B15&gt;='Calculadora'!$C$24,B15&lt;='Calculadora'!$C$25),'Calculadora'!$C$23,0)*(1+'Calculadora'!$C$12)^A15)</f>
        <v>0</v>
      </c>
      <c r="F15" s="20">
        <f>IF(A15="","",F14*(1+'Calculadora'!$C$29)+C14+E14-D14)</f>
        <v>123275.28883299686</v>
      </c>
      <c r="G15" s="20">
        <f>IF(A15="","",D15-E15+IF(A16="",0,MAX(0,G16/(1+'Calculadora'!$C$29))))</f>
        <v>474867.19803766365</v>
      </c>
      <c r="H15" s="21" t="str">
        <f>IF(A15="","",IF('Calculadora'!$C$16="Con la regla del 4 %",IF(F15*'Calculadora'!$C$17&gt;=D15-E15-1E-9,"Sí","No"),IF(F15&gt;=G15-0.005,"Sí","No")))</f>
        <v>No</v>
      </c>
      <c r="I15" s="20">
        <f>IF(A15="","",J14)</f>
        <v>123275.28883299686</v>
      </c>
      <c r="J15" s="20">
        <f>IF(A15="","",IF(A15&lt;IF(ISNUMBER('Calculadora'!$C$30),'Calculadora'!$C$30,'Calculadora'!$C$28),I15*(1+'Calculadora'!$C$29)+C15+E15-D15,MAX(0,I15-D15+E15)*(1+'Calculadora'!$C$29)))</f>
        <v>138935.58020031473</v>
      </c>
      <c r="K15" s="20">
        <f>IF(A15="","",J15/(1+'Calculadora'!$C$12)^(A15+1))</f>
        <v>116255.07834968639</v>
      </c>
    </row>
    <row r="16">
      <c r="A16">
        <f>IF(9&lt;'Calculadora'!$C$28,9,"")</f>
        <v>9</v>
      </c>
      <c r="B16">
        <f>IF(A16="","",'Calculadora'!$C$7+A16)</f>
        <v>45</v>
      </c>
      <c r="C16" s="20">
        <f>IF(A16="","",'Calculadora'!$C$8*(1+'Calculadora'!$C$13)^A16)</f>
        <v>27342.13181710902</v>
      </c>
      <c r="D16" s="20">
        <f>IF(A16="","",('Calculadora'!$C$9+IF(AND(B16&gt;='Calculadora'!$C$21,B16&lt;='Calculadora'!$C$22),'Calculadora'!$C$20,0))*(1+'Calculadora'!$C$12)^A16)</f>
        <v>17926.388529334665</v>
      </c>
      <c r="E16" s="20">
        <f>IF(A16="","",IF(AND(B16&gt;='Calculadora'!$C$24,B16&lt;='Calculadora'!$C$25),'Calculadora'!$C$23,0)*(1+'Calculadora'!$C$12)^A16)</f>
        <v>0</v>
      </c>
      <c r="F16" s="20">
        <f>IF(A16="","",F15*(1+'Calculadora'!$C$29)+C15+E15-D15)</f>
        <v>138935.58020031473</v>
      </c>
      <c r="G16" s="20">
        <f>IF(A16="","",D16-E16+IF(A17="",0,MAX(0,G17/(1+'Calculadora'!$C$29))))</f>
        <v>480156.9226887612</v>
      </c>
      <c r="H16" s="21" t="str">
        <f>IF(A16="","",IF('Calculadora'!$C$16="Con la regla del 4 %",IF(F16*'Calculadora'!$C$17&gt;=D16-E16-1E-9,"Sí","No"),IF(F16&gt;=G16-0.005,"Sí","No")))</f>
        <v>No</v>
      </c>
      <c r="I16" s="20">
        <f>IF(A16="","",J15)</f>
        <v>138935.58020031473</v>
      </c>
      <c r="J16" s="20">
        <f>IF(A16="","",IF(A16&lt;IF(ISNUMBER('Calculadora'!$C$30),'Calculadora'!$C$30,'Calculadora'!$C$28),I16*(1+'Calculadora'!$C$29)+C16+E16-D16,MAX(0,I16-D16+E16)*(1+'Calculadora'!$C$29)))</f>
        <v>155298.10249810482</v>
      </c>
      <c r="K16" s="20">
        <f>IF(A16="","",J16/(1+'Calculadora'!$C$12)^(A16+1))</f>
        <v>127398.53435815788</v>
      </c>
    </row>
    <row r="17">
      <c r="A17">
        <f>IF(10&lt;'Calculadora'!$C$28,10,"")</f>
        <v>10</v>
      </c>
      <c r="B17">
        <f>IF(A17="","",'Calculadora'!$C$7+A17)</f>
        <v>46</v>
      </c>
      <c r="C17" s="20">
        <f>IF(A17="","",'Calculadora'!$C$8*(1+'Calculadora'!$C$13)^A17)</f>
        <v>27615.55313528011</v>
      </c>
      <c r="D17" s="20">
        <f>IF(A17="","",('Calculadora'!$C$9+IF(AND(B17&gt;='Calculadora'!$C$21,B17&lt;='Calculadora'!$C$22),'Calculadora'!$C$20,0))*(1+'Calculadora'!$C$12)^A17)</f>
        <v>18284.91629992136</v>
      </c>
      <c r="E17" s="20">
        <f>IF(A17="","",IF(AND(B17&gt;='Calculadora'!$C$24,B17&lt;='Calculadora'!$C$25),'Calculadora'!$C$23,0)*(1+'Calculadora'!$C$12)^A17)</f>
        <v>0</v>
      </c>
      <c r="F17" s="20">
        <f>IF(A17="","",F16*(1+'Calculadora'!$C$29)+C16+E16-D16)</f>
        <v>155298.10249810482</v>
      </c>
      <c r="G17" s="20">
        <f>IF(A17="","",D17-E17+IF(A18="",0,MAX(0,G18/(1+'Calculadora'!$C$29))))</f>
        <v>485342.0608673979</v>
      </c>
      <c r="H17" s="21" t="str">
        <f>IF(A17="","",IF('Calculadora'!$C$16="Con la regla del 4 %",IF(F17*'Calculadora'!$C$17&gt;=D17-E17-1E-9,"Sí","No"),IF(F17&gt;=G17-0.005,"Sí","No")))</f>
        <v>No</v>
      </c>
      <c r="I17" s="20">
        <f>IF(A17="","",J16)</f>
        <v>155298.10249810482</v>
      </c>
      <c r="J17" s="20">
        <f>IF(A17="","",IF(A17&lt;IF(ISNUMBER('Calculadora'!$C$30),'Calculadora'!$C$30,'Calculadora'!$C$28),I17*(1+'Calculadora'!$C$29)+C17+E17-D17,MAX(0,I17-D17+E17)*(1+'Calculadora'!$C$29)))</f>
        <v>172393.64445836883</v>
      </c>
      <c r="K17" s="20">
        <f>IF(A17="","",J17/(1+'Calculadora'!$C$12)^(A17+1))</f>
        <v>138649.8364124557</v>
      </c>
    </row>
    <row r="18">
      <c r="A18">
        <f>IF(11&lt;'Calculadora'!$C$28,11,"")</f>
        <v>11</v>
      </c>
      <c r="B18">
        <f>IF(A18="","",'Calculadora'!$C$7+A18)</f>
        <v>47</v>
      </c>
      <c r="C18" s="20">
        <f>IF(A18="","",'Calculadora'!$C$8*(1+'Calculadora'!$C$13)^A18)</f>
        <v>27891.708666632912</v>
      </c>
      <c r="D18" s="20">
        <f>IF(A18="","",('Calculadora'!$C$9+IF(AND(B18&gt;='Calculadora'!$C$21,B18&lt;='Calculadora'!$C$22),'Calculadora'!$C$20,0))*(1+'Calculadora'!$C$12)^A18)</f>
        <v>18650.61462591979</v>
      </c>
      <c r="E18" s="20">
        <f>IF(A18="","",IF(AND(B18&gt;='Calculadora'!$C$24,B18&lt;='Calculadora'!$C$25),'Calculadora'!$C$23,0)*(1+'Calculadora'!$C$12)^A18)</f>
        <v>0</v>
      </c>
      <c r="F18" s="20">
        <f>IF(A18="","",F17*(1+'Calculadora'!$C$29)+C17+E17-D17)</f>
        <v>172393.64445836883</v>
      </c>
      <c r="G18" s="20">
        <f>IF(A18="","",D18-E18+IF(A19="",0,MAX(0,G19/(1+'Calculadora'!$C$29))))</f>
        <v>490410.00179585034</v>
      </c>
      <c r="H18" s="21" t="str">
        <f>IF(A18="","",IF('Calculadora'!$C$16="Con la regla del 4 %",IF(F18*'Calculadora'!$C$17&gt;=D18-E18-1E-9,"Sí","No"),IF(F18&gt;=G18-0.005,"Sí","No")))</f>
        <v>No</v>
      </c>
      <c r="I18" s="20">
        <f>IF(A18="","",J17)</f>
        <v>172393.64445836883</v>
      </c>
      <c r="J18" s="20">
        <f>IF(A18="","",IF(A18&lt;IF(ISNUMBER('Calculadora'!$C$30),'Calculadora'!$C$30,'Calculadora'!$C$28),I18*(1+'Calculadora'!$C$29)+C18+E18-D18,MAX(0,I18-D18+E18)*(1+'Calculadora'!$C$29)))</f>
        <v>190254.42072200042</v>
      </c>
      <c r="K18" s="20">
        <f>IF(A18="","",J18/(1+'Calculadora'!$C$12)^(A18+1))</f>
        <v>150014.31236353857</v>
      </c>
    </row>
    <row r="19">
      <c r="A19">
        <f>IF(12&lt;'Calculadora'!$C$28,12,"")</f>
        <v>12</v>
      </c>
      <c r="B19">
        <f>IF(A19="","",'Calculadora'!$C$7+A19)</f>
        <v>48</v>
      </c>
      <c r="C19" s="20">
        <f>IF(A19="","",'Calculadora'!$C$8*(1+'Calculadora'!$C$13)^A19)</f>
        <v>28170.625753299246</v>
      </c>
      <c r="D19" s="20">
        <f>IF(A19="","",('Calculadora'!$C$9+IF(AND(B19&gt;='Calculadora'!$C$21,B19&lt;='Calculadora'!$C$22),'Calculadora'!$C$20,0))*(1+'Calculadora'!$C$12)^A19)</f>
        <v>19023.62691843818</v>
      </c>
      <c r="E19" s="20">
        <f>IF(A19="","",IF(AND(B19&gt;='Calculadora'!$C$24,B19&lt;='Calculadora'!$C$25),'Calculadora'!$C$23,0)*(1+'Calculadora'!$C$12)^A19)</f>
        <v>0</v>
      </c>
      <c r="F19" s="20">
        <f>IF(A19="","",F18*(1+'Calculadora'!$C$29)+C18+E18-D18)</f>
        <v>190254.42072200042</v>
      </c>
      <c r="G19" s="20">
        <f>IF(A19="","",D19-E19+IF(A20="",0,MAX(0,G20/(1+'Calculadora'!$C$29))))</f>
        <v>495347.3565284271</v>
      </c>
      <c r="H19" s="21" t="str">
        <f>IF(A19="","",IF('Calculadora'!$C$16="Con la regla del 4 %",IF(F19*'Calculadora'!$C$17&gt;=D19-E19-1E-9,"Sí","No"),IF(F19&gt;=G19-0.005,"Sí","No")))</f>
        <v>No</v>
      </c>
      <c r="I19" s="20">
        <f>IF(A19="","",J18)</f>
        <v>190254.42072200042</v>
      </c>
      <c r="J19" s="20">
        <f>IF(A19="","",IF(A19&lt;IF(ISNUMBER('Calculadora'!$C$30),'Calculadora'!$C$30,'Calculadora'!$C$28),I19*(1+'Calculadora'!$C$29)+C19+E19-D19,MAX(0,I19-D19+E19)*(1+'Calculadora'!$C$29)))</f>
        <v>208914.1405929615</v>
      </c>
      <c r="K19" s="20">
        <f>IF(A19="","",J19/(1+'Calculadora'!$C$12)^(A19+1))</f>
        <v>161497.42562750666</v>
      </c>
    </row>
    <row r="20">
      <c r="A20">
        <f>IF(13&lt;'Calculadora'!$C$28,13,"")</f>
        <v>13</v>
      </c>
      <c r="B20">
        <f>IF(A20="","",'Calculadora'!$C$7+A20)</f>
        <v>49</v>
      </c>
      <c r="C20" s="20">
        <f>IF(A20="","",'Calculadora'!$C$8*(1+'Calculadora'!$C$13)^A20)</f>
        <v>28452.332010832237</v>
      </c>
      <c r="D20" s="20">
        <f>IF(A20="","",('Calculadora'!$C$9+IF(AND(B20&gt;='Calculadora'!$C$21,B20&lt;='Calculadora'!$C$22),'Calculadora'!$C$20,0))*(1+'Calculadora'!$C$12)^A20)</f>
        <v>19404.099456806947</v>
      </c>
      <c r="E20" s="20">
        <f>IF(A20="","",IF(AND(B20&gt;='Calculadora'!$C$24,B20&lt;='Calculadora'!$C$25),'Calculadora'!$C$23,0)*(1+'Calculadora'!$C$12)^A20)</f>
        <v>0</v>
      </c>
      <c r="F20" s="20">
        <f>IF(A20="","",F19*(1+'Calculadora'!$C$29)+C19+E19-D19)</f>
        <v>208914.1405929615</v>
      </c>
      <c r="G20" s="20">
        <f>IF(A20="","",D20-E20+IF(A21="",0,MAX(0,G21/(1+'Calculadora'!$C$29))))</f>
        <v>500139.9160904884</v>
      </c>
      <c r="H20" s="21" t="str">
        <f>IF(A20="","",IF('Calculadora'!$C$16="Con la regla del 4 %",IF(F20*'Calculadora'!$C$17&gt;=D20-E20-1E-9,"Sí","No"),IF(F20&gt;=G20-0.005,"Sí","No")))</f>
        <v>No</v>
      </c>
      <c r="I20" s="20">
        <f>IF(A20="","",J19)</f>
        <v>208914.1405929615</v>
      </c>
      <c r="J20" s="20">
        <f>IF(A20="","",IF(A20&lt;IF(ISNUMBER('Calculadora'!$C$30),'Calculadora'!$C$30,'Calculadora'!$C$28),I20*(1+'Calculadora'!$C$29)+C20+E20-D20,MAX(0,I20-D20+E20)*(1+'Calculadora'!$C$29)))</f>
        <v>228408.0801766349</v>
      </c>
      <c r="K20" s="20">
        <f>IF(A20="","",J20/(1+'Calculadora'!$C$12)^(A20+1))</f>
        <v>173104.77938003113</v>
      </c>
    </row>
    <row r="21">
      <c r="A21">
        <f>IF(14&lt;'Calculadora'!$C$28,14,"")</f>
        <v>14</v>
      </c>
      <c r="B21">
        <f>IF(A21="","",'Calculadora'!$C$7+A21)</f>
        <v>50</v>
      </c>
      <c r="C21" s="20">
        <f>IF(A21="","",'Calculadora'!$C$8*(1+'Calculadora'!$C$13)^A21)</f>
        <v>28736.855330940565</v>
      </c>
      <c r="D21" s="20">
        <f>IF(A21="","",('Calculadora'!$C$9+IF(AND(B21&gt;='Calculadora'!$C$21,B21&lt;='Calculadora'!$C$22),'Calculadora'!$C$20,0))*(1+'Calculadora'!$C$12)^A21)</f>
        <v>19792.181445943086</v>
      </c>
      <c r="E21" s="20">
        <f>IF(A21="","",IF(AND(B21&gt;='Calculadora'!$C$24,B21&lt;='Calculadora'!$C$25),'Calculadora'!$C$23,0)*(1+'Calculadora'!$C$12)^A21)</f>
        <v>0</v>
      </c>
      <c r="F21" s="20">
        <f>IF(A21="","",F20*(1+'Calculadora'!$C$29)+C20+E20-D20)</f>
        <v>228408.0801766349</v>
      </c>
      <c r="G21" s="20">
        <f>IF(A21="","",D21-E21+IF(A22="",0,MAX(0,G22/(1+'Calculadora'!$C$29))))</f>
        <v>504772.6074653655</v>
      </c>
      <c r="H21" s="21" t="str">
        <f>IF(A21="","",IF('Calculadora'!$C$16="Con la regla del 4 %",IF(F21*'Calculadora'!$C$17&gt;=D21-E21-1E-9,"Sí","No"),IF(F21&gt;=G21-0.005,"Sí","No")))</f>
        <v>No</v>
      </c>
      <c r="I21" s="20">
        <f>IF(A21="","",J20)</f>
        <v>228408.0801766349</v>
      </c>
      <c r="J21" s="20">
        <f>IF(A21="","",IF(A21&lt;IF(ISNUMBER('Calculadora'!$C$30),'Calculadora'!$C$30,'Calculadora'!$C$28),I21*(1+'Calculadora'!$C$29)+C21+E21-D21,MAX(0,I21-D21+E21)*(1+'Calculadora'!$C$29)))</f>
        <v>248773.1580704641</v>
      </c>
      <c r="K21" s="20">
        <f>IF(A21="","",J21/(1+'Calculadora'!$C$12)^(A21+1))</f>
        <v>184842.12087211703</v>
      </c>
    </row>
    <row r="22">
      <c r="A22">
        <f>IF(15&lt;'Calculadora'!$C$28,15,"")</f>
        <v>15</v>
      </c>
      <c r="B22">
        <f>IF(A22="","",'Calculadora'!$C$7+A22)</f>
        <v>51</v>
      </c>
      <c r="C22" s="20">
        <f>IF(A22="","",'Calculadora'!$C$8*(1+'Calculadora'!$C$13)^A22)</f>
        <v>29024.22388424997</v>
      </c>
      <c r="D22" s="20">
        <f>IF(A22="","",('Calculadora'!$C$9+IF(AND(B22&gt;='Calculadora'!$C$21,B22&lt;='Calculadora'!$C$22),'Calculadora'!$C$20,0))*(1+'Calculadora'!$C$12)^A22)</f>
        <v>20188.025074861947</v>
      </c>
      <c r="E22" s="20">
        <f>IF(A22="","",IF(AND(B22&gt;='Calculadora'!$C$24,B22&lt;='Calculadora'!$C$25),'Calculadora'!$C$23,0)*(1+'Calculadora'!$C$12)^A22)</f>
        <v>0</v>
      </c>
      <c r="F22" s="20">
        <f>IF(A22="","",F21*(1+'Calculadora'!$C$29)+C21+E21-D21)</f>
        <v>248773.1580704641</v>
      </c>
      <c r="G22" s="20">
        <f>IF(A22="","",D22-E22+IF(A23="",0,MAX(0,G23/(1+'Calculadora'!$C$29))))</f>
        <v>509229.4473203936</v>
      </c>
      <c r="H22" s="21" t="str">
        <f>IF(A22="","",IF('Calculadora'!$C$16="Con la regla del 4 %",IF(F22*'Calculadora'!$C$17&gt;=D22-E22-1E-9,"Sí","No"),IF(F22&gt;=G22-0.005,"Sí","No")))</f>
        <v>No</v>
      </c>
      <c r="I22" s="20">
        <f>IF(A22="","",J21)</f>
        <v>248773.1580704641</v>
      </c>
      <c r="J22" s="20">
        <f>IF(A22="","",IF(A22&lt;IF(ISNUMBER('Calculadora'!$C$30),'Calculadora'!$C$30,'Calculadora'!$C$28),I22*(1+'Calculadora'!$C$29)+C22+E22-D22,MAX(0,I22-D22+E22)*(1+'Calculadora'!$C$29)))</f>
        <v>270048.0147833753</v>
      </c>
      <c r="K22" s="20">
        <f>IF(A22="","",J22/(1+'Calculadora'!$C$12)^(A22+1))</f>
        <v>196715.34587078937</v>
      </c>
    </row>
    <row r="23">
      <c r="A23">
        <f>IF(16&lt;'Calculadora'!$C$28,16,"")</f>
        <v>16</v>
      </c>
      <c r="B23">
        <f>IF(A23="","",'Calculadora'!$C$7+A23)</f>
        <v>52</v>
      </c>
      <c r="C23" s="20">
        <f>IF(A23="","",'Calculadora'!$C$8*(1+'Calculadora'!$C$13)^A23)</f>
        <v>29314.46612309247</v>
      </c>
      <c r="D23" s="20">
        <f>IF(A23="","",('Calculadora'!$C$9+IF(AND(B23&gt;='Calculadora'!$C$21,B23&lt;='Calculadora'!$C$22),'Calculadora'!$C$20,0))*(1+'Calculadora'!$C$12)^A23)</f>
        <v>20591.785576359187</v>
      </c>
      <c r="E23" s="20">
        <f>IF(A23="","",IF(AND(B23&gt;='Calculadora'!$C$24,B23&lt;='Calculadora'!$C$25),'Calculadora'!$C$23,0)*(1+'Calculadora'!$C$12)^A23)</f>
        <v>0</v>
      </c>
      <c r="F23" s="20">
        <f>IF(A23="","",F22*(1+'Calculadora'!$C$29)+C22+E22-D22)</f>
        <v>270048.0147833753</v>
      </c>
      <c r="G23" s="20">
        <f>IF(A23="","",D23-E23+IF(A24="",0,MAX(0,G24/(1+'Calculadora'!$C$29))))</f>
        <v>513493.4933578082</v>
      </c>
      <c r="H23" s="21" t="str">
        <f>IF(A23="","",IF('Calculadora'!$C$16="Con la regla del 4 %",IF(F23*'Calculadora'!$C$17&gt;=D23-E23-1E-9,"Sí","No"),IF(F23&gt;=G23-0.005,"Sí","No")))</f>
        <v>No</v>
      </c>
      <c r="I23" s="20">
        <f>IF(A23="","",J22)</f>
        <v>270048.0147833753</v>
      </c>
      <c r="J23" s="20">
        <f>IF(A23="","",IF(A23&lt;IF(ISNUMBER('Calculadora'!$C$30),'Calculadora'!$C$30,'Calculadora'!$C$28),I23*(1+'Calculadora'!$C$29)+C23+E23-D23,MAX(0,I23-D23+E23)*(1+'Calculadora'!$C$29)))</f>
        <v>292273.0960692774</v>
      </c>
      <c r="K23" s="20">
        <f>IF(A23="","",J23/(1+'Calculadora'!$C$12)^(A23+1))</f>
        <v>208730.5032283954</v>
      </c>
    </row>
    <row r="24">
      <c r="A24">
        <f>IF(17&lt;'Calculadora'!$C$28,17,"")</f>
        <v>17</v>
      </c>
      <c r="B24">
        <f>IF(A24="","",'Calculadora'!$C$7+A24)</f>
        <v>53</v>
      </c>
      <c r="C24" s="20">
        <f>IF(A24="","",'Calculadora'!$C$8*(1+'Calculadora'!$C$13)^A24)</f>
        <v>29607.61078432339</v>
      </c>
      <c r="D24" s="20">
        <f>IF(A24="","",('Calculadora'!$C$9+IF(AND(B24&gt;='Calculadora'!$C$21,B24&lt;='Calculadora'!$C$22),'Calculadora'!$C$20,0))*(1+'Calculadora'!$C$12)^A24)</f>
        <v>21003.621287886373</v>
      </c>
      <c r="E24" s="20">
        <f>IF(A24="","",IF(AND(B24&gt;='Calculadora'!$C$24,B24&lt;='Calculadora'!$C$25),'Calculadora'!$C$23,0)*(1+'Calculadora'!$C$12)^A24)</f>
        <v>0</v>
      </c>
      <c r="F24" s="20">
        <f>IF(A24="","",F23*(1+'Calculadora'!$C$29)+C23+E23-D23)</f>
        <v>292273.0960692774</v>
      </c>
      <c r="G24" s="20">
        <f>IF(A24="","",D24-E24+IF(A25="",0,MAX(0,G25/(1+'Calculadora'!$C$29))))</f>
        <v>517546.7931705215</v>
      </c>
      <c r="H24" s="21" t="str">
        <f>IF(A24="","",IF('Calculadora'!$C$16="Con la regla del 4 %",IF(F24*'Calculadora'!$C$17&gt;=D24-E24-1E-9,"Sí","No"),IF(F24&gt;=G24-0.005,"Sí","No")))</f>
        <v>No</v>
      </c>
      <c r="I24" s="20">
        <f>IF(A24="","",J23)</f>
        <v>292273.0960692774</v>
      </c>
      <c r="J24" s="20">
        <f>IF(A24="","",IF(A24&lt;IF(ISNUMBER('Calculadora'!$C$30),'Calculadora'!$C$30,'Calculadora'!$C$28),I24*(1+'Calculadora'!$C$29)+C24+E24-D24,MAX(0,I24-D24+E24)*(1+'Calculadora'!$C$29)))</f>
        <v>315490.74036917824</v>
      </c>
      <c r="K24" s="20">
        <f>IF(A24="","",J24/(1+'Calculadora'!$C$12)^(A24+1))</f>
        <v>220893.79958432546</v>
      </c>
    </row>
    <row r="25">
      <c r="A25">
        <f>IF(18&lt;'Calculadora'!$C$28,18,"")</f>
        <v>18</v>
      </c>
      <c r="B25">
        <f>IF(A25="","",'Calculadora'!$C$7+A25)</f>
        <v>54</v>
      </c>
      <c r="C25" s="20">
        <f>IF(A25="","",'Calculadora'!$C$8*(1+'Calculadora'!$C$13)^A25)</f>
        <v>29903.686892166625</v>
      </c>
      <c r="D25" s="20">
        <f>IF(A25="","",('Calculadora'!$C$9+IF(AND(B25&gt;='Calculadora'!$C$21,B25&lt;='Calculadora'!$C$22),'Calculadora'!$C$20,0))*(1+'Calculadora'!$C$12)^A25)</f>
        <v>21423.6937136441</v>
      </c>
      <c r="E25" s="20">
        <f>IF(A25="","",IF(AND(B25&gt;='Calculadora'!$C$24,B25&lt;='Calculadora'!$C$25),'Calculadora'!$C$23,0)*(1+'Calculadora'!$C$12)^A25)</f>
        <v>0</v>
      </c>
      <c r="F25" s="20">
        <f>IF(A25="","",F24*(1+'Calculadora'!$C$29)+C24+E24-D24)</f>
        <v>315490.74036917824</v>
      </c>
      <c r="G25" s="20">
        <f>IF(A25="","",D25-E25+IF(A26="",0,MAX(0,G26/(1+'Calculadora'!$C$29))))</f>
        <v>521370.3304767669</v>
      </c>
      <c r="H25" s="21" t="str">
        <f>IF(A25="","",IF('Calculadora'!$C$16="Con la regla del 4 %",IF(F25*'Calculadora'!$C$17&gt;=D25-E25-1E-9,"Sí","No"),IF(F25&gt;=G25-0.005,"Sí","No")))</f>
        <v>No</v>
      </c>
      <c r="I25" s="20">
        <f>IF(A25="","",J24)</f>
        <v>315490.74036917824</v>
      </c>
      <c r="J25" s="20">
        <f>IF(A25="","",IF(A25&lt;IF(ISNUMBER('Calculadora'!$C$30),'Calculadora'!$C$30,'Calculadora'!$C$28),I25*(1+'Calculadora'!$C$29)+C25+E25-D25,MAX(0,I25-D25+E25)*(1+'Calculadora'!$C$29)))</f>
        <v>339745.2705661597</v>
      </c>
      <c r="K25" s="20">
        <f>IF(A25="","",J25/(1+'Calculadora'!$C$12)^(A25+1))</f>
        <v>233211.6042030675</v>
      </c>
    </row>
    <row r="26">
      <c r="A26">
        <f>IF(19&lt;'Calculadora'!$C$28,19,"")</f>
        <v>19</v>
      </c>
      <c r="B26">
        <f>IF(A26="","",'Calculadora'!$C$7+A26)</f>
        <v>55</v>
      </c>
      <c r="C26" s="20">
        <f>IF(A26="","",'Calculadora'!$C$8*(1+'Calculadora'!$C$13)^A26)</f>
        <v>30202.72376108829</v>
      </c>
      <c r="D26" s="20">
        <f>IF(A26="","",('Calculadora'!$C$9+IF(AND(B26&gt;='Calculadora'!$C$21,B26&lt;='Calculadora'!$C$22),'Calculadora'!$C$20,0))*(1+'Calculadora'!$C$12)^A26)</f>
        <v>21852.16758791698</v>
      </c>
      <c r="E26" s="20">
        <f>IF(A26="","",IF(AND(B26&gt;='Calculadora'!$C$24,B26&lt;='Calculadora'!$C$25),'Calculadora'!$C$23,0)*(1+'Calculadora'!$C$12)^A26)</f>
        <v>0</v>
      </c>
      <c r="F26" s="20">
        <f>IF(A26="","",F25*(1+'Calculadora'!$C$29)+C25+E25-D25)</f>
        <v>339745.2705661597</v>
      </c>
      <c r="G26" s="20">
        <f>IF(A26="","",D26-E26+IF(A27="",0,MAX(0,G27/(1+'Calculadora'!$C$29))))</f>
        <v>524943.968601279</v>
      </c>
      <c r="H26" s="21" t="str">
        <f>IF(A26="","",IF('Calculadora'!$C$16="Con la regla del 4 %",IF(F26*'Calculadora'!$C$17&gt;=D26-E26-1E-9,"Sí","No"),IF(F26&gt;=G26-0.005,"Sí","No")))</f>
        <v>No</v>
      </c>
      <c r="I26" s="20">
        <f>IF(A26="","",J25)</f>
        <v>339745.2705661597</v>
      </c>
      <c r="J26" s="20">
        <f>IF(A26="","",IF(A26&lt;IF(ISNUMBER('Calculadora'!$C$30),'Calculadora'!$C$30,'Calculadora'!$C$28),I26*(1+'Calculadora'!$C$29)+C26+E26-D26,MAX(0,I26-D26+E26)*(1+'Calculadora'!$C$29)))</f>
        <v>365083.09026763897</v>
      </c>
      <c r="K26" s="20">
        <f>IF(A26="","",J26/(1+'Calculadora'!$C$12)^(A26+1))</f>
        <v>245690.45395262225</v>
      </c>
    </row>
    <row r="27">
      <c r="A27">
        <f>IF(20&lt;'Calculadora'!$C$28,20,"")</f>
        <v>20</v>
      </c>
      <c r="B27">
        <f>IF(A27="","",'Calculadora'!$C$7+A27)</f>
        <v>56</v>
      </c>
      <c r="C27" s="20">
        <f>IF(A27="","",'Calculadora'!$C$8*(1+'Calculadora'!$C$13)^A27)</f>
        <v>30504.750998699175</v>
      </c>
      <c r="D27" s="20">
        <f>IF(A27="","",('Calculadora'!$C$9+IF(AND(B27&gt;='Calculadora'!$C$21,B27&lt;='Calculadora'!$C$22),'Calculadora'!$C$20,0))*(1+'Calculadora'!$C$12)^A27)</f>
        <v>22289.210939675322</v>
      </c>
      <c r="E27" s="20">
        <f>IF(A27="","",IF(AND(B27&gt;='Calculadora'!$C$24,B27&lt;='Calculadora'!$C$25),'Calculadora'!$C$23,0)*(1+'Calculadora'!$C$12)^A27)</f>
        <v>0</v>
      </c>
      <c r="F27" s="20">
        <f>IF(A27="","",F26*(1+'Calculadora'!$C$29)+C26+E26-D26)</f>
        <v>365083.09026763897</v>
      </c>
      <c r="G27" s="20">
        <f>IF(A27="","",D27-E27+IF(A28="",0,MAX(0,G28/(1+'Calculadora'!$C$29))))</f>
        <v>528246.3910640301</v>
      </c>
      <c r="H27" s="21" t="str">
        <f>IF(A27="","",IF('Calculadora'!$C$16="Con la regla del 4 %",IF(F27*'Calculadora'!$C$17&gt;=D27-E27-1E-9,"Sí","No"),IF(F27&gt;=G27-0.005,"Sí","No")))</f>
        <v>No</v>
      </c>
      <c r="I27" s="20">
        <f>IF(A27="","",J26)</f>
        <v>365083.09026763897</v>
      </c>
      <c r="J27" s="20">
        <f>IF(A27="","",IF(A27&lt;IF(ISNUMBER('Calculadora'!$C$30),'Calculadora'!$C$30,'Calculadora'!$C$28),I27*(1+'Calculadora'!$C$29)+C27+E27-D27,MAX(0,I27-D27+E27)*(1+'Calculadora'!$C$29)))</f>
        <v>391552.78484004474</v>
      </c>
      <c r="K27" s="20">
        <f>IF(A27="","",J27/(1+'Calculadora'!$C$12)^(A27+1))</f>
        <v>258337.05842742874</v>
      </c>
    </row>
    <row r="28">
      <c r="A28">
        <f>IF(21&lt;'Calculadora'!$C$28,21,"")</f>
        <v>21</v>
      </c>
      <c r="B28">
        <f>IF(A28="","",'Calculadora'!$C$7+A28)</f>
        <v>57</v>
      </c>
      <c r="C28" s="20">
        <f>IF(A28="","",'Calculadora'!$C$8*(1+'Calculadora'!$C$13)^A28)</f>
        <v>30809.79850868617</v>
      </c>
      <c r="D28" s="20">
        <f>IF(A28="","",('Calculadora'!$C$9+IF(AND(B28&gt;='Calculadora'!$C$21,B28&lt;='Calculadora'!$C$22),'Calculadora'!$C$20,0))*(1+'Calculadora'!$C$12)^A28)</f>
        <v>22734.995158468828</v>
      </c>
      <c r="E28" s="20">
        <f>IF(A28="","",IF(AND(B28&gt;='Calculadora'!$C$24,B28&lt;='Calculadora'!$C$25),'Calculadora'!$C$23,0)*(1+'Calculadora'!$C$12)^A28)</f>
        <v>0</v>
      </c>
      <c r="F28" s="20">
        <f>IF(A28="","",F27*(1+'Calculadora'!$C$29)+C27+E27-D27)</f>
        <v>391552.78484004474</v>
      </c>
      <c r="G28" s="20">
        <f>IF(A28="","",D28-E28+IF(A29="",0,MAX(0,G29/(1+'Calculadora'!$C$29))))</f>
        <v>531255.0391305726</v>
      </c>
      <c r="H28" s="21" t="str">
        <f>IF(A28="","",IF('Calculadora'!$C$16="Con la regla del 4 %",IF(F28*'Calculadora'!$C$17&gt;=D28-E28-1E-9,"Sí","No"),IF(F28&gt;=G28-0.005,"Sí","No")))</f>
        <v>No</v>
      </c>
      <c r="I28" s="20">
        <f>IF(A28="","",J27)</f>
        <v>391552.78484004474</v>
      </c>
      <c r="J28" s="20">
        <f>IF(A28="","",IF(A28&lt;IF(ISNUMBER('Calculadora'!$C$30),'Calculadora'!$C$30,'Calculadora'!$C$28),I28*(1+'Calculadora'!$C$29)+C28+E28-D28,MAX(0,I28-D28+E28)*(1+'Calculadora'!$C$29)))</f>
        <v>419205.22743226436</v>
      </c>
      <c r="K28" s="20">
        <f>IF(A28="","",J28/(1+'Calculadora'!$C$12)^(A28+1))</f>
        <v>271158.3052200667</v>
      </c>
    </row>
    <row r="29">
      <c r="A29">
        <f>IF(22&lt;'Calculadora'!$C$28,22,"")</f>
        <v>22</v>
      </c>
      <c r="B29">
        <f>IF(A29="","",'Calculadora'!$C$7+A29)</f>
        <v>58</v>
      </c>
      <c r="C29" s="20">
        <f>IF(A29="","",'Calculadora'!$C$8*(1+'Calculadora'!$C$13)^A29)</f>
        <v>31117.896493773027</v>
      </c>
      <c r="D29" s="20">
        <f>IF(A29="","",('Calculadora'!$C$9+IF(AND(B29&gt;='Calculadora'!$C$21,B29&lt;='Calculadora'!$C$22),'Calculadora'!$C$20,0))*(1+'Calculadora'!$C$12)^A29)</f>
        <v>23189.695061638206</v>
      </c>
      <c r="E29" s="20">
        <f>IF(A29="","",IF(AND(B29&gt;='Calculadora'!$C$24,B29&lt;='Calculadora'!$C$25),'Calculadora'!$C$23,0)*(1+'Calculadora'!$C$12)^A29)</f>
        <v>0</v>
      </c>
      <c r="F29" s="20">
        <f>IF(A29="","",F28*(1+'Calculadora'!$C$29)+C28+E28-D28)</f>
        <v>419205.22743226436</v>
      </c>
      <c r="G29" s="20">
        <f>IF(A29="","",D29-E29+IF(A30="",0,MAX(0,G30/(1+'Calculadora'!$C$29))))</f>
        <v>533946.046170709</v>
      </c>
      <c r="H29" s="21" t="str">
        <f>IF(A29="","",IF('Calculadora'!$C$16="Con la regla del 4 %",IF(F29*'Calculadora'!$C$17&gt;=D29-E29-1E-9,"Sí","No"),IF(F29&gt;=G29-0.005,"Sí","No")))</f>
        <v>No</v>
      </c>
      <c r="I29" s="20">
        <f>IF(A29="","",J28)</f>
        <v>419205.22743226436</v>
      </c>
      <c r="J29" s="20">
        <f>IF(A29="","",IF(A29&lt;IF(ISNUMBER('Calculadora'!$C$30),'Calculadora'!$C$30,'Calculadora'!$C$28),I29*(1+'Calculadora'!$C$29)+C29+E29-D29,MAX(0,I29-D29+E29)*(1+'Calculadora'!$C$29)))</f>
        <v>448093.69023601245</v>
      </c>
      <c r="K29" s="20">
        <f>IF(A29="","",J29/(1+'Calculadora'!$C$12)^(A29+1))</f>
        <v>284161.26534613216</v>
      </c>
    </row>
    <row r="30">
      <c r="A30">
        <f>IF(23&lt;'Calculadora'!$C$28,23,"")</f>
        <v>23</v>
      </c>
      <c r="B30">
        <f>IF(A30="","",'Calculadora'!$C$7+A30)</f>
        <v>59</v>
      </c>
      <c r="C30" s="20">
        <f>IF(A30="","",'Calculadora'!$C$8*(1+'Calculadora'!$C$13)^A30)</f>
        <v>31429.07545871076</v>
      </c>
      <c r="D30" s="20">
        <f>IF(A30="","",('Calculadora'!$C$9+IF(AND(B30&gt;='Calculadora'!$C$21,B30&lt;='Calculadora'!$C$22),'Calculadora'!$C$20,0))*(1+'Calculadora'!$C$12)^A30)</f>
        <v>23653.48896287097</v>
      </c>
      <c r="E30" s="20">
        <f>IF(A30="","",IF(AND(B30&gt;='Calculadora'!$C$24,B30&lt;='Calculadora'!$C$25),'Calculadora'!$C$23,0)*(1+'Calculadora'!$C$12)^A30)</f>
        <v>0</v>
      </c>
      <c r="F30" s="20">
        <f>IF(A30="","",F29*(1+'Calculadora'!$C$29)+C29+E29-D29)</f>
        <v>448093.69023601245</v>
      </c>
      <c r="G30" s="20">
        <f>IF(A30="","",D30-E30+IF(A31="",0,MAX(0,G31/(1+'Calculadora'!$C$29))))</f>
        <v>536294.1686645243</v>
      </c>
      <c r="H30" s="21" t="str">
        <f>IF(A30="","",IF('Calculadora'!$C$16="Con la regla del 4 %",IF(F30*'Calculadora'!$C$17&gt;=D30-E30-1E-9,"Sí","No"),IF(F30&gt;=G30-0.005,"Sí","No")))</f>
        <v>No</v>
      </c>
      <c r="I30" s="20">
        <f>IF(A30="","",J29)</f>
        <v>448093.69023601245</v>
      </c>
      <c r="J30" s="20">
        <f>IF(A30="","",IF(A30&lt;IF(ISNUMBER('Calculadora'!$C$30),'Calculadora'!$C$30,'Calculadora'!$C$28),I30*(1+'Calculadora'!$C$29)+C30+E30-D30,MAX(0,I30-D30+E30)*(1+'Calculadora'!$C$29)))</f>
        <v>478273.9612436529</v>
      </c>
      <c r="K30" s="20">
        <f>IF(A30="","",J30/(1+'Calculadora'!$C$12)^(A30+1))</f>
        <v>297353.1988268091</v>
      </c>
    </row>
    <row r="31">
      <c r="A31">
        <f>IF(24&lt;'Calculadora'!$C$28,24,"")</f>
        <v>24</v>
      </c>
      <c r="B31">
        <f>IF(A31="","",'Calculadora'!$C$7+A31)</f>
        <v>60</v>
      </c>
      <c r="C31" s="20">
        <f>IF(A31="","",'Calculadora'!$C$8*(1+'Calculadora'!$C$13)^A31)</f>
        <v>31743.366213297868</v>
      </c>
      <c r="D31" s="20">
        <f>IF(A31="","",('Calculadora'!$C$9+IF(AND(B31&gt;='Calculadora'!$C$21,B31&lt;='Calculadora'!$C$22),'Calculadora'!$C$20,0))*(1+'Calculadora'!$C$12)^A31)</f>
        <v>24126.558742128393</v>
      </c>
      <c r="E31" s="20">
        <f>IF(A31="","",IF(AND(B31&gt;='Calculadora'!$C$24,B31&lt;='Calculadora'!$C$25),'Calculadora'!$C$23,0)*(1+'Calculadora'!$C$12)^A31)</f>
        <v>0</v>
      </c>
      <c r="F31" s="20">
        <f>IF(A31="","",F30*(1+'Calculadora'!$C$29)+C30+E30-D30)</f>
        <v>478273.9612436529</v>
      </c>
      <c r="G31" s="20">
        <f>IF(A31="","",D31-E31+IF(A32="",0,MAX(0,G32/(1+'Calculadora'!$C$29))))</f>
        <v>538272.7136867361</v>
      </c>
      <c r="H31" s="21" t="str">
        <f>IF(A31="","",IF('Calculadora'!$C$16="Con la regla del 4 %",IF(F31*'Calculadora'!$C$17&gt;=D31-E31-1E-9,"Sí","No"),IF(F31&gt;=G31-0.005,"Sí","No")))</f>
        <v>No</v>
      </c>
      <c r="I31" s="20">
        <f>IF(A31="","",J30)</f>
        <v>478273.9612436529</v>
      </c>
      <c r="J31" s="20">
        <f>IF(A31="","",IF(A31&lt;IF(ISNUMBER('Calculadora'!$C$30),'Calculadora'!$C$30,'Calculadora'!$C$28),I31*(1+'Calculadora'!$C$29)+C31+E31-D31,MAX(0,I31-D31+E31)*(1+'Calculadora'!$C$29)))</f>
        <v>509804.46677700506</v>
      </c>
      <c r="K31" s="20">
        <f>IF(A31="","",J31/(1+'Calculadora'!$C$12)^(A31+1))</f>
        <v>310741.56043379294</v>
      </c>
    </row>
    <row r="32">
      <c r="A32">
        <f>IF(25&lt;'Calculadora'!$C$28,25,"")</f>
        <v>25</v>
      </c>
      <c r="B32">
        <f>IF(A32="","",'Calculadora'!$C$7+A32)</f>
        <v>61</v>
      </c>
      <c r="C32" s="20">
        <f>IF(A32="","",'Calculadora'!$C$8*(1+'Calculadora'!$C$13)^A32)</f>
        <v>32060.799875430846</v>
      </c>
      <c r="D32" s="20">
        <f>IF(A32="","",('Calculadora'!$C$9+IF(AND(B32&gt;='Calculadora'!$C$21,B32&lt;='Calculadora'!$C$22),'Calculadora'!$C$20,0))*(1+'Calculadora'!$C$12)^A32)</f>
        <v>24609.08991697096</v>
      </c>
      <c r="E32" s="20">
        <f>IF(A32="","",IF(AND(B32&gt;='Calculadora'!$C$24,B32&lt;='Calculadora'!$C$25),'Calculadora'!$C$23,0)*(1+'Calculadora'!$C$12)^A32)</f>
        <v>0</v>
      </c>
      <c r="F32" s="20">
        <f>IF(A32="","",F31*(1+'Calculadora'!$C$29)+C31+E31-D31)</f>
        <v>509804.46677700506</v>
      </c>
      <c r="G32" s="20">
        <f>IF(A32="","",D32-E32+IF(A33="",0,MAX(0,G33/(1+'Calculadora'!$C$29))))</f>
        <v>539853.462691838</v>
      </c>
      <c r="H32" s="21" t="str">
        <f>IF(A32="","",IF('Calculadora'!$C$16="Con la regla del 4 %",IF(F32*'Calculadora'!$C$17&gt;=D32-E32-1E-9,"Sí","No"),IF(F32&gt;=G32-0.005,"Sí","No")))</f>
        <v>No</v>
      </c>
      <c r="I32" s="20">
        <f>IF(A32="","",J31)</f>
        <v>509804.46677700506</v>
      </c>
      <c r="J32" s="20">
        <f>IF(A32="","",IF(A32&lt;IF(ISNUMBER('Calculadora'!$C$30),'Calculadora'!$C$30,'Calculadora'!$C$28),I32*(1+'Calculadora'!$C$29)+C32+E32-D32,MAX(0,I32-D32+E32)*(1+'Calculadora'!$C$29)))</f>
        <v>542746.4000743153</v>
      </c>
      <c r="K32" s="20">
        <f>IF(A32="","",J32/(1+'Calculadora'!$C$12)^(A32+1))</f>
        <v>324334.0056013597</v>
      </c>
    </row>
    <row r="33">
      <c r="A33">
        <f>IF(26&lt;'Calculadora'!$C$28,26,"")</f>
        <v>26</v>
      </c>
      <c r="B33">
        <f>IF(A33="","",'Calculadora'!$C$7+A33)</f>
        <v>62</v>
      </c>
      <c r="C33" s="20">
        <f>IF(A33="","",'Calculadora'!$C$8*(1+'Calculadora'!$C$13)^A33)</f>
        <v>32381.40787418516</v>
      </c>
      <c r="D33" s="20">
        <f>IF(A33="","",('Calculadora'!$C$9+IF(AND(B33&gt;='Calculadora'!$C$21,B33&lt;='Calculadora'!$C$22),'Calculadora'!$C$20,0))*(1+'Calculadora'!$C$12)^A33)</f>
        <v>25101.271715310377</v>
      </c>
      <c r="E33" s="20">
        <f>IF(A33="","",IF(AND(B33&gt;='Calculadora'!$C$24,B33&lt;='Calculadora'!$C$25),'Calculadora'!$C$23,0)*(1+'Calculadora'!$C$12)^A33)</f>
        <v>0</v>
      </c>
      <c r="F33" s="20">
        <f>IF(A33="","",F32*(1+'Calculadora'!$C$29)+C32+E32-D32)</f>
        <v>542746.4000743153</v>
      </c>
      <c r="G33" s="20">
        <f>IF(A33="","",D33-E33+IF(A34="",0,MAX(0,G34/(1+'Calculadora'!$C$29))))</f>
        <v>541006.5914136105</v>
      </c>
      <c r="H33" s="21" t="str">
        <f>IF(A33="","",IF('Calculadora'!$C$16="Con la regla del 4 %",IF(F33*'Calculadora'!$C$17&gt;=D33-E33-1E-9,"Sí","No"),IF(F33&gt;=G33-0.005,"Sí","No")))</f>
        <v>Sí</v>
      </c>
      <c r="I33" s="20">
        <f>IF(A33="","",J32)</f>
        <v>542746.4000743153</v>
      </c>
      <c r="J33" s="20">
        <f>IF(A33="","",IF(A33&lt;IF(ISNUMBER('Calculadora'!$C$30),'Calculadora'!$C$30,'Calculadora'!$C$28),I33*(1+'Calculadora'!$C$29)+C33+E33-D33,MAX(0,I33-D33+E33)*(1+'Calculadora'!$C$29)))</f>
        <v>543527.3847769551</v>
      </c>
      <c r="K33" s="20">
        <f>IF(A33="","",J33/(1+'Calculadora'!$C$12)^(A33+1))</f>
        <v>318432.064589635</v>
      </c>
    </row>
    <row r="34">
      <c r="A34">
        <f>IF(27&lt;'Calculadora'!$C$28,27,"")</f>
        <v>27</v>
      </c>
      <c r="B34">
        <f>IF(A34="","",'Calculadora'!$C$7+A34)</f>
        <v>63</v>
      </c>
      <c r="C34" s="20">
        <f>IF(A34="","",'Calculadora'!$C$8*(1+'Calculadora'!$C$13)^A34)</f>
        <v>32705.22195292701</v>
      </c>
      <c r="D34" s="20">
        <f>IF(A34="","",('Calculadora'!$C$9+IF(AND(B34&gt;='Calculadora'!$C$21,B34&lt;='Calculadora'!$C$22),'Calculadora'!$C$20,0))*(1+'Calculadora'!$C$12)^A34)</f>
        <v>25603.29714961659</v>
      </c>
      <c r="E34" s="20">
        <f>IF(A34="","",IF(AND(B34&gt;='Calculadora'!$C$24,B34&lt;='Calculadora'!$C$25),'Calculadora'!$C$23,0)*(1+'Calculadora'!$C$12)^A34)</f>
        <v>0</v>
      </c>
      <c r="F34" s="20">
        <f>IF(A34="","",F33*(1+'Calculadora'!$C$29)+C33+E33-D33)</f>
        <v>577163.8562369058</v>
      </c>
      <c r="G34" s="20">
        <f>IF(A34="","",D34-E34+IF(A35="",0,MAX(0,G35/(1+'Calculadora'!$C$29))))</f>
        <v>541700.5856832152</v>
      </c>
      <c r="H34" s="21" t="str">
        <f>IF(A34="","",IF('Calculadora'!$C$16="Con la regla del 4 %",IF(F34*'Calculadora'!$C$17&gt;=D34-E34-1E-9,"Sí","No"),IF(F34&gt;=G34-0.005,"Sí","No")))</f>
        <v>Sí</v>
      </c>
      <c r="I34" s="20">
        <f>IF(A34="","",J33)</f>
        <v>543527.3847769551</v>
      </c>
      <c r="J34" s="20">
        <f>IF(A34="","",IF(A34&lt;IF(ISNUMBER('Calculadora'!$C$30),'Calculadora'!$C$30,'Calculadora'!$C$28),I34*(1+'Calculadora'!$C$29)+C34+E34-D34,MAX(0,I34-D34+E34)*(1+'Calculadora'!$C$29)))</f>
        <v>543820.2920087054</v>
      </c>
      <c r="K34" s="20">
        <f>IF(A34="","",J34/(1+'Calculadora'!$C$12)^(A34+1))</f>
        <v>312356.5370775654</v>
      </c>
    </row>
    <row r="35">
      <c r="A35">
        <f>IF(28&lt;'Calculadora'!$C$28,28,"")</f>
        <v>28</v>
      </c>
      <c r="B35">
        <f>IF(A35="","",'Calculadora'!$C$7+A35)</f>
        <v>64</v>
      </c>
      <c r="C35" s="20">
        <f>IF(A35="","",'Calculadora'!$C$8*(1+'Calculadora'!$C$13)^A35)</f>
        <v>33032.27417245628</v>
      </c>
      <c r="D35" s="20">
        <f>IF(A35="","",('Calculadora'!$C$9+IF(AND(B35&gt;='Calculadora'!$C$21,B35&lt;='Calculadora'!$C$22),'Calculadora'!$C$20,0))*(1+'Calculadora'!$C$12)^A35)</f>
        <v>26115.36309260892</v>
      </c>
      <c r="E35" s="20">
        <f>IF(A35="","",IF(AND(B35&gt;='Calculadora'!$C$24,B35&lt;='Calculadora'!$C$25),'Calculadora'!$C$23,0)*(1+'Calculadora'!$C$12)^A35)</f>
        <v>0</v>
      </c>
      <c r="F35" s="20">
        <f>IF(A35="","",F34*(1+'Calculadora'!$C$29)+C34+E34-D34)</f>
        <v>613123.9738520616</v>
      </c>
      <c r="G35" s="20">
        <f>IF(A35="","",D35-E35+IF(A36="",0,MAX(0,G36/(1+'Calculadora'!$C$29))))</f>
        <v>541902.1529602786</v>
      </c>
      <c r="H35" s="21" t="str">
        <f>IF(A35="","",IF('Calculadora'!$C$16="Con la regla del 4 %",IF(F35*'Calculadora'!$C$17&gt;=D35-E35-1E-9,"Sí","No"),IF(F35&gt;=G35-0.005,"Sí","No")))</f>
        <v>Sí</v>
      </c>
      <c r="I35" s="20">
        <f>IF(A35="","",J34)</f>
        <v>543820.2920087054</v>
      </c>
      <c r="J35" s="20">
        <f>IF(A35="","",IF(A35&lt;IF(ISNUMBER('Calculadora'!$C$30),'Calculadora'!$C$30,'Calculadora'!$C$28),I35*(1+'Calculadora'!$C$29)+C35+E35-D35,MAX(0,I35-D35+E35)*(1+'Calculadora'!$C$29)))</f>
        <v>543590.1753619014</v>
      </c>
      <c r="K35" s="20">
        <f>IF(A35="","",J35/(1+'Calculadora'!$C$12)^(A35+1))</f>
        <v>306102.3175798468</v>
      </c>
    </row>
    <row r="36">
      <c r="A36">
        <f>IF(29&lt;'Calculadora'!$C$28,29,"")</f>
        <v>29</v>
      </c>
      <c r="B36">
        <f>IF(A36="","",'Calculadora'!$C$7+A36)</f>
        <v>65</v>
      </c>
      <c r="C36" s="20">
        <f>IF(A36="","",'Calculadora'!$C$8*(1+'Calculadora'!$C$13)^A36)</f>
        <v>33362.596914180845</v>
      </c>
      <c r="D36" s="20">
        <f>IF(A36="","",('Calculadora'!$C$9+IF(AND(B36&gt;='Calculadora'!$C$21,B36&lt;='Calculadora'!$C$22),'Calculadora'!$C$20,0))*(1+'Calculadora'!$C$12)^A36)</f>
        <v>26637.670354461097</v>
      </c>
      <c r="E36" s="20">
        <f>IF(A36="","",IF(AND(B36&gt;='Calculadora'!$C$24,B36&lt;='Calculadora'!$C$25),'Calculadora'!$C$23,0)*(1+'Calculadora'!$C$12)^A36)</f>
        <v>0</v>
      </c>
      <c r="F36" s="20">
        <f>IF(A36="","",F35*(1+'Calculadora'!$C$29)+C35+E35-D35)</f>
        <v>650697.0836245121</v>
      </c>
      <c r="G36" s="20">
        <f>IF(A36="","",D36-E36+IF(A37="",0,MAX(0,G37/(1+'Calculadora'!$C$29))))</f>
        <v>541576.1293610532</v>
      </c>
      <c r="H36" s="21" t="str">
        <f>IF(A36="","",IF('Calculadora'!$C$16="Con la regla del 4 %",IF(F36*'Calculadora'!$C$17&gt;=D36-E36-1E-9,"Sí","No"),IF(F36&gt;=G36-0.005,"Sí","No")))</f>
        <v>Sí</v>
      </c>
      <c r="I36" s="20">
        <f>IF(A36="","",J35)</f>
        <v>543590.1753619014</v>
      </c>
      <c r="J36" s="20">
        <f>IF(A36="","",IF(A36&lt;IF(ISNUMBER('Calculadora'!$C$30),'Calculadora'!$C$30,'Calculadora'!$C$28),I36*(1+'Calculadora'!$C$29)+C36+E36-D36,MAX(0,I36-D36+E36)*(1+'Calculadora'!$C$29)))</f>
        <v>542800.1302578123</v>
      </c>
      <c r="K36" s="20">
        <f>IF(A36="","",J36/(1+'Calculadora'!$C$12)^(A36+1))</f>
        <v>299664.1504498423</v>
      </c>
    </row>
    <row r="37">
      <c r="A37">
        <f>IF(30&lt;'Calculadora'!$C$28,30,"")</f>
        <v>30</v>
      </c>
      <c r="B37">
        <f>IF(A37="","",'Calculadora'!$C$7+A37)</f>
        <v>66</v>
      </c>
      <c r="C37" s="20">
        <f>IF(A37="","",'Calculadora'!$C$8*(1+'Calculadora'!$C$13)^A37)</f>
        <v>33696.222883322655</v>
      </c>
      <c r="D37" s="20">
        <f>IF(A37="","",('Calculadora'!$C$9+IF(AND(B37&gt;='Calculadora'!$C$21,B37&lt;='Calculadora'!$C$22),'Calculadora'!$C$20,0))*(1+'Calculadora'!$C$12)^A37)</f>
        <v>27170.423761550323</v>
      </c>
      <c r="E37" s="20">
        <f>IF(A37="","",IF(AND(B37&gt;='Calculadora'!$C$24,B37&lt;='Calculadora'!$C$25),'Calculadora'!$C$23,0)*(1+'Calculadora'!$C$12)^A37)</f>
        <v>0</v>
      </c>
      <c r="F37" s="20">
        <f>IF(A37="","",F36*(1+'Calculadora'!$C$29)+C36+E36-D36)</f>
        <v>689956.8643654576</v>
      </c>
      <c r="G37" s="20">
        <f>IF(A37="","",D37-E37+IF(A38="",0,MAX(0,G38/(1+'Calculadora'!$C$29))))</f>
        <v>540685.3819569218</v>
      </c>
      <c r="H37" s="21" t="str">
        <f>IF(A37="","",IF('Calculadora'!$C$16="Con la regla del 4 %",IF(F37*'Calculadora'!$C$17&gt;=D37-E37-1E-9,"Sí","No"),IF(F37&gt;=G37-0.005,"Sí","No")))</f>
        <v>Sí</v>
      </c>
      <c r="I37" s="20">
        <f>IF(A37="","",J36)</f>
        <v>542800.1302578123</v>
      </c>
      <c r="J37" s="20">
        <f>IF(A37="","",IF(A37&lt;IF(ISNUMBER('Calculadora'!$C$30),'Calculadora'!$C$30,'Calculadora'!$C$28),I37*(1+'Calculadora'!$C$29)+C37+E37-D37,MAX(0,I37-D37+E37)*(1+'Calculadora'!$C$29)))</f>
        <v>541411.1918210752</v>
      </c>
      <c r="K37" s="20">
        <f>IF(A37="","",J37/(1+'Calculadora'!$C$12)^(A37+1))</f>
        <v>293036.62546307297</v>
      </c>
    </row>
    <row r="38">
      <c r="A38">
        <f>IF(31&lt;'Calculadora'!$C$28,31,"")</f>
        <v>31</v>
      </c>
      <c r="B38">
        <f>IF(A38="","",'Calculadora'!$C$7+A38)</f>
        <v>67</v>
      </c>
      <c r="C38" s="20">
        <f>IF(A38="","",'Calculadora'!$C$8*(1+'Calculadora'!$C$13)^A38)</f>
        <v>34033.18511215588</v>
      </c>
      <c r="D38" s="20">
        <f>IF(A38="","",('Calculadora'!$C$9+IF(AND(B38&gt;='Calculadora'!$C$21,B38&lt;='Calculadora'!$C$22),'Calculadora'!$C$20,0))*(1+'Calculadora'!$C$12)^A38)</f>
        <v>27713.832236781327</v>
      </c>
      <c r="E38" s="20">
        <f>IF(A38="","",IF(AND(B38&gt;='Calculadora'!$C$24,B38&lt;='Calculadora'!$C$25),'Calculadora'!$C$23,0)*(1+'Calculadora'!$C$12)^A38)</f>
        <v>0</v>
      </c>
      <c r="F38" s="20">
        <f>IF(A38="","",F37*(1+'Calculadora'!$C$29)+C37+E37-D37)</f>
        <v>730980.5067055027</v>
      </c>
      <c r="G38" s="20">
        <f>IF(A38="","",D38-E38+IF(A39="",0,MAX(0,G39/(1+'Calculadora'!$C$29))))</f>
        <v>539190.70610514</v>
      </c>
      <c r="H38" s="21" t="str">
        <f>IF(A38="","",IF('Calculadora'!$C$16="Con la regla del 4 %",IF(F38*'Calculadora'!$C$17&gt;=D38-E38-1E-9,"Sí","No"),IF(F38&gt;=G38-0.005,"Sí","No")))</f>
        <v>Sí</v>
      </c>
      <c r="I38" s="20">
        <f>IF(A38="","",J37)</f>
        <v>541411.1918210752</v>
      </c>
      <c r="J38" s="20">
        <f>IF(A38="","",IF(A38&lt;IF(ISNUMBER('Calculadora'!$C$30),'Calculadora'!$C$30,'Calculadora'!$C$28),I38*(1+'Calculadora'!$C$29)+C38+E38-D38,MAX(0,I38-D38+E38)*(1+'Calculadora'!$C$29)))</f>
        <v>539382.2275635086</v>
      </c>
      <c r="K38" s="20">
        <f>IF(A38="","",J38/(1+'Calculadora'!$C$12)^(A38+1))</f>
        <v>286214.1732708104</v>
      </c>
    </row>
    <row r="39">
      <c r="A39">
        <f>IF(32&lt;'Calculadora'!$C$28,32,"")</f>
        <v>32</v>
      </c>
      <c r="B39">
        <f>IF(A39="","",'Calculadora'!$C$7+A39)</f>
        <v>68</v>
      </c>
      <c r="C39" s="20">
        <f>IF(A39="","",'Calculadora'!$C$8*(1+'Calculadora'!$C$13)^A39)</f>
        <v>34373.516963277434</v>
      </c>
      <c r="D39" s="20">
        <f>IF(A39="","",('Calculadora'!$C$9+IF(AND(B39&gt;='Calculadora'!$C$21,B39&lt;='Calculadora'!$C$22),'Calculadora'!$C$20,0))*(1+'Calculadora'!$C$12)^A39)</f>
        <v>28268.108881516953</v>
      </c>
      <c r="E39" s="20">
        <f>IF(A39="","",IF(AND(B39&gt;='Calculadora'!$C$24,B39&lt;='Calculadora'!$C$25),'Calculadora'!$C$23,0)*(1+'Calculadora'!$C$12)^A39)</f>
        <v>0</v>
      </c>
      <c r="F39" s="20">
        <f>IF(A39="","",F38*(1+'Calculadora'!$C$29)+C38+E38-D38)</f>
        <v>773848.8849161525</v>
      </c>
      <c r="G39" s="20">
        <f>IF(A39="","",D39-E39+IF(A40="",0,MAX(0,G40/(1+'Calculadora'!$C$29))))</f>
        <v>537050.7175617766</v>
      </c>
      <c r="H39" s="21" t="str">
        <f>IF(A39="","",IF('Calculadora'!$C$16="Con la regla del 4 %",IF(F39*'Calculadora'!$C$17&gt;=D39-E39-1E-9,"Sí","No"),IF(F39&gt;=G39-0.005,"Sí","No")))</f>
        <v>Sí</v>
      </c>
      <c r="I39" s="20">
        <f>IF(A39="","",J38)</f>
        <v>539382.2275635086</v>
      </c>
      <c r="J39" s="20">
        <f>IF(A39="","",IF(A39&lt;IF(ISNUMBER('Calculadora'!$C$30),'Calculadora'!$C$30,'Calculadora'!$C$28),I39*(1+'Calculadora'!$C$29)+C39+E39-D39,MAX(0,I39-D39+E39)*(1+'Calculadora'!$C$29)))</f>
        <v>536669.8246160912</v>
      </c>
      <c r="K39" s="20">
        <f>IF(A39="","",J39/(1+'Calculadora'!$C$12)^(A39+1))</f>
        <v>279191.0607199519</v>
      </c>
    </row>
    <row r="40">
      <c r="A40">
        <f>IF(33&lt;'Calculadora'!$C$28,33,"")</f>
        <v>33</v>
      </c>
      <c r="B40">
        <f>IF(A40="","",'Calculadora'!$C$7+A40)</f>
        <v>69</v>
      </c>
      <c r="C40" s="20">
        <f>IF(A40="","",'Calculadora'!$C$8*(1+'Calculadora'!$C$13)^A40)</f>
        <v>34717.25213291021</v>
      </c>
      <c r="D40" s="20">
        <f>IF(A40="","",('Calculadora'!$C$9+IF(AND(B40&gt;='Calculadora'!$C$21,B40&lt;='Calculadora'!$C$22),'Calculadora'!$C$20,0))*(1+'Calculadora'!$C$12)^A40)</f>
        <v>28833.471059147294</v>
      </c>
      <c r="E40" s="20">
        <f>IF(A40="","",IF(AND(B40&gt;='Calculadora'!$C$24,B40&lt;='Calculadora'!$C$25),'Calculadora'!$C$23,0)*(1+'Calculadora'!$C$12)^A40)</f>
        <v>0</v>
      </c>
      <c r="F40" s="20">
        <f>IF(A40="","",F39*(1+'Calculadora'!$C$29)+C39+E39-D39)</f>
        <v>818646.7372437207</v>
      </c>
      <c r="G40" s="20">
        <f>IF(A40="","",D40-E40+IF(A41="",0,MAX(0,G41/(1+'Calculadora'!$C$29))))</f>
        <v>534221.7391142728</v>
      </c>
      <c r="H40" s="21" t="str">
        <f>IF(A40="","",IF('Calculadora'!$C$16="Con la regla del 4 %",IF(F40*'Calculadora'!$C$17&gt;=D40-E40-1E-9,"Sí","No"),IF(F40&gt;=G40-0.005,"Sí","No")))</f>
        <v>Sí</v>
      </c>
      <c r="I40" s="20">
        <f>IF(A40="","",J39)</f>
        <v>536669.8246160912</v>
      </c>
      <c r="J40" s="20">
        <f>IF(A40="","",IF(A40&lt;IF(ISNUMBER('Calculadora'!$C$30),'Calculadora'!$C$30,'Calculadora'!$C$28),I40*(1+'Calculadora'!$C$29)+C40+E40-D40,MAX(0,I40-D40+E40)*(1+'Calculadora'!$C$29)))</f>
        <v>533228.1712347912</v>
      </c>
      <c r="K40" s="20">
        <f>IF(A40="","",J40/(1+'Calculadora'!$C$12)^(A40+1))</f>
        <v>271961.3860352446</v>
      </c>
    </row>
    <row r="41">
      <c r="A41">
        <f>IF(34&lt;'Calculadora'!$C$28,34,"")</f>
        <v>34</v>
      </c>
      <c r="B41">
        <f>IF(A41="","",'Calculadora'!$C$7+A41)</f>
        <v>70</v>
      </c>
      <c r="C41" s="20">
        <f>IF(A41="","",'Calculadora'!$C$8*(1+'Calculadora'!$C$13)^A41)</f>
        <v>35064.424654239316</v>
      </c>
      <c r="D41" s="20">
        <f>IF(A41="","",('Calculadora'!$C$9+IF(AND(B41&gt;='Calculadora'!$C$21,B41&lt;='Calculadora'!$C$22),'Calculadora'!$C$20,0))*(1+'Calculadora'!$C$12)^A41)</f>
        <v>29410.14048033024</v>
      </c>
      <c r="E41" s="20">
        <f>IF(A41="","",IF(AND(B41&gt;='Calculadora'!$C$24,B41&lt;='Calculadora'!$C$25),'Calculadora'!$C$23,0)*(1+'Calculadora'!$C$12)^A41)</f>
        <v>0</v>
      </c>
      <c r="F41" s="20">
        <f>IF(A41="","",F40*(1+'Calculadora'!$C$29)+C40+E40-D40)</f>
        <v>865462.8551796697</v>
      </c>
      <c r="G41" s="20">
        <f>IF(A41="","",D41-E41+IF(A42="",0,MAX(0,G42/(1+'Calculadora'!$C$29))))</f>
        <v>530657.6814578817</v>
      </c>
      <c r="H41" s="21" t="str">
        <f>IF(A41="","",IF('Calculadora'!$C$16="Con la regla del 4 %",IF(F41*'Calculadora'!$C$17&gt;=D41-E41-1E-9,"Sí","No"),IF(F41&gt;=G41-0.005,"Sí","No")))</f>
        <v>Sí</v>
      </c>
      <c r="I41" s="20">
        <f>IF(A41="","",J40)</f>
        <v>533228.1712347912</v>
      </c>
      <c r="J41" s="20">
        <f>IF(A41="","",IF(A41&lt;IF(ISNUMBER('Calculadora'!$C$30),'Calculadora'!$C$30,'Calculadora'!$C$28),I41*(1+'Calculadora'!$C$29)+C41+E41-D41,MAX(0,I41-D41+E41)*(1+'Calculadora'!$C$29)))</f>
        <v>529008.932292184</v>
      </c>
      <c r="K41" s="20">
        <f>IF(A41="","",J41/(1+'Calculadora'!$C$12)^(A41+1))</f>
        <v>264519.07385981065</v>
      </c>
    </row>
    <row r="42">
      <c r="A42">
        <f>IF(35&lt;'Calculadora'!$C$28,35,"")</f>
        <v>35</v>
      </c>
      <c r="B42">
        <f>IF(A42="","",'Calculadora'!$C$7+A42)</f>
        <v>71</v>
      </c>
      <c r="C42" s="20">
        <f>IF(A42="","",'Calculadora'!$C$8*(1+'Calculadora'!$C$13)^A42)</f>
        <v>35415.068900781705</v>
      </c>
      <c r="D42" s="20">
        <f>IF(A42="","",('Calculadora'!$C$9+IF(AND(B42&gt;='Calculadora'!$C$21,B42&lt;='Calculadora'!$C$22),'Calculadora'!$C$20,0))*(1+'Calculadora'!$C$12)^A42)</f>
        <v>29998.34328993685</v>
      </c>
      <c r="E42" s="20">
        <f>IF(A42="","",IF(AND(B42&gt;='Calculadora'!$C$24,B42&lt;='Calculadora'!$C$25),'Calculadora'!$C$23,0)*(1+'Calculadora'!$C$12)^A42)</f>
        <v>0</v>
      </c>
      <c r="F42" s="20">
        <f>IF(A42="","",F41*(1+'Calculadora'!$C$29)+C41+E41-D41)</f>
        <v>914390.2821125623</v>
      </c>
      <c r="G42" s="20">
        <f>IF(A42="","",D42-E42+IF(A43="",0,MAX(0,G43/(1+'Calculadora'!$C$29))))</f>
        <v>526309.918026429</v>
      </c>
      <c r="H42" s="21" t="str">
        <f>IF(A42="","",IF('Calculadora'!$C$16="Con la regla del 4 %",IF(F42*'Calculadora'!$C$17&gt;=D42-E42-1E-9,"Sí","No"),IF(F42&gt;=G42-0.005,"Sí","No")))</f>
        <v>Sí</v>
      </c>
      <c r="I42" s="20">
        <f>IF(A42="","",J41)</f>
        <v>529008.932292184</v>
      </c>
      <c r="J42" s="20">
        <f>IF(A42="","",IF(A42&lt;IF(ISNUMBER('Calculadora'!$C$30),'Calculadora'!$C$30,'Calculadora'!$C$28),I42*(1+'Calculadora'!$C$29)+C42+E42-D42,MAX(0,I42-D42+E42)*(1+'Calculadora'!$C$29)))</f>
        <v>523961.1184523595</v>
      </c>
      <c r="K42" s="20">
        <f>IF(A42="","",J42/(1+'Calculadora'!$C$12)^(A42+1))</f>
        <v>256857.8701498051</v>
      </c>
    </row>
    <row r="43">
      <c r="A43">
        <f>IF(36&lt;'Calculadora'!$C$28,36,"")</f>
        <v>36</v>
      </c>
      <c r="B43">
        <f>IF(A43="","",'Calculadora'!$C$7+A43)</f>
        <v>72</v>
      </c>
      <c r="C43" s="20">
        <f>IF(A43="","",'Calculadora'!$C$8*(1+'Calculadora'!$C$13)^A43)</f>
        <v>35769.21958978952</v>
      </c>
      <c r="D43" s="20">
        <f>IF(A43="","",('Calculadora'!$C$9+IF(AND(B43&gt;='Calculadora'!$C$21,B43&lt;='Calculadora'!$C$22),'Calculadora'!$C$20,0))*(1+'Calculadora'!$C$12)^A43)</f>
        <v>30598.31015573558</v>
      </c>
      <c r="E43" s="20">
        <f>IF(A43="","",IF(AND(B43&gt;='Calculadora'!$C$24,B43&lt;='Calculadora'!$C$25),'Calculadora'!$C$23,0)*(1+'Calculadora'!$C$12)^A43)</f>
        <v>0</v>
      </c>
      <c r="F43" s="20">
        <f>IF(A43="","",F42*(1+'Calculadora'!$C$29)+C42+E42-D42)</f>
        <v>965526.5218290352</v>
      </c>
      <c r="G43" s="20">
        <f>IF(A43="","",D43-E43+IF(A44="",0,MAX(0,G44/(1+'Calculadora'!$C$29))))</f>
        <v>521127.1534733168</v>
      </c>
      <c r="H43" s="21" t="str">
        <f>IF(A43="","",IF('Calculadora'!$C$16="Con la regla del 4 %",IF(F43*'Calculadora'!$C$17&gt;=D43-E43-1E-9,"Sí","No"),IF(F43&gt;=G43-0.005,"Sí","No")))</f>
        <v>Sí</v>
      </c>
      <c r="I43" s="20">
        <f>IF(A43="","",J42)</f>
        <v>523961.1184523595</v>
      </c>
      <c r="J43" s="20">
        <f>IF(A43="","",IF(A43&lt;IF(ISNUMBER('Calculadora'!$C$30),'Calculadora'!$C$30,'Calculadora'!$C$28),I43*(1+'Calculadora'!$C$29)+C43+E43-D43,MAX(0,I43-D43+E43)*(1+'Calculadora'!$C$29)))</f>
        <v>518030.94871145516</v>
      </c>
      <c r="K43" s="20">
        <f>IF(A43="","",J43/(1+'Calculadora'!$C$12)^(A43+1))</f>
        <v>248971.336918917</v>
      </c>
    </row>
    <row r="44">
      <c r="A44">
        <f>IF(37&lt;'Calculadora'!$C$28,37,"")</f>
        <v>37</v>
      </c>
      <c r="B44">
        <f>IF(A44="","",'Calculadora'!$C$7+A44)</f>
        <v>73</v>
      </c>
      <c r="C44" s="20">
        <f>IF(A44="","",'Calculadora'!$C$8*(1+'Calculadora'!$C$13)^A44)</f>
        <v>36126.91178568742</v>
      </c>
      <c r="D44" s="20">
        <f>IF(A44="","",('Calculadora'!$C$9+IF(AND(B44&gt;='Calculadora'!$C$21,B44&lt;='Calculadora'!$C$22),'Calculadora'!$C$20,0))*(1+'Calculadora'!$C$12)^A44)</f>
        <v>31210.276358850297</v>
      </c>
      <c r="E44" s="20">
        <f>IF(A44="","",IF(AND(B44&gt;='Calculadora'!$C$24,B44&lt;='Calculadora'!$C$25),'Calculadora'!$C$23,0)*(1+'Calculadora'!$C$12)^A44)</f>
        <v>0</v>
      </c>
      <c r="F44" s="20">
        <f>IF(A44="","",F43*(1+'Calculadora'!$C$29)+C43+E43-D43)</f>
        <v>1018973.757354541</v>
      </c>
      <c r="G44" s="20">
        <f>IF(A44="","",D44-E44+IF(A45="",0,MAX(0,G45/(1+'Calculadora'!$C$29))))</f>
        <v>515055.2854834603</v>
      </c>
      <c r="H44" s="21" t="str">
        <f>IF(A44="","",IF('Calculadora'!$C$16="Con la regla del 4 %",IF(F44*'Calculadora'!$C$17&gt;=D44-E44-1E-9,"Sí","No"),IF(F44&gt;=G44-0.005,"Sí","No")))</f>
        <v>Sí</v>
      </c>
      <c r="I44" s="20">
        <f>IF(A44="","",J43)</f>
        <v>518030.94871145516</v>
      </c>
      <c r="J44" s="20">
        <f>IF(A44="","",IF(A44&lt;IF(ISNUMBER('Calculadora'!$C$30),'Calculadora'!$C$30,'Calculadora'!$C$28),I44*(1+'Calculadora'!$C$29)+C44+E44-D44,MAX(0,I44-D44+E44)*(1+'Calculadora'!$C$29)))</f>
        <v>511161.7059702351</v>
      </c>
      <c r="K44" s="20">
        <f>IF(A44="","",J44/(1+'Calculadora'!$C$12)^(A44+1))</f>
        <v>240852.84682829696</v>
      </c>
    </row>
    <row r="45">
      <c r="A45">
        <f>IF(38&lt;'Calculadora'!$C$28,38,"")</f>
        <v>38</v>
      </c>
      <c r="B45">
        <f>IF(A45="","",'Calculadora'!$C$7+A45)</f>
        <v>74</v>
      </c>
      <c r="C45" s="20">
        <f>IF(A45="","",'Calculadora'!$C$8*(1+'Calculadora'!$C$13)^A45)</f>
        <v>36488.18090354429</v>
      </c>
      <c r="D45" s="20">
        <f>IF(A45="","",('Calculadora'!$C$9+IF(AND(B45&gt;='Calculadora'!$C$21,B45&lt;='Calculadora'!$C$22),'Calculadora'!$C$20,0))*(1+'Calculadora'!$C$12)^A45)</f>
        <v>31834.4818860273</v>
      </c>
      <c r="E45" s="20">
        <f>IF(A45="","",IF(AND(B45&gt;='Calculadora'!$C$24,B45&lt;='Calculadora'!$C$25),'Calculadora'!$C$23,0)*(1+'Calculadora'!$C$12)^A45)</f>
        <v>0</v>
      </c>
      <c r="F45" s="20">
        <f>IF(A45="","",F44*(1+'Calculadora'!$C$29)+C44+E44-D44)</f>
        <v>1074839.0806491051</v>
      </c>
      <c r="G45" s="20">
        <f>IF(A45="","",D45-E45+IF(A46="",0,MAX(0,G46/(1+'Calculadora'!$C$29))))</f>
        <v>508037.25958084053</v>
      </c>
      <c r="H45" s="21" t="str">
        <f>IF(A45="","",IF('Calculadora'!$C$16="Con la regla del 4 %",IF(F45*'Calculadora'!$C$17&gt;=D45-E45-1E-9,"Sí","No"),IF(F45&gt;=G45-0.005,"Sí","No")))</f>
        <v>Sí</v>
      </c>
      <c r="I45" s="20">
        <f>IF(A45="","",J44)</f>
        <v>511161.7059702351</v>
      </c>
      <c r="J45" s="20">
        <f>IF(A45="","",IF(A45&lt;IF(ISNUMBER('Calculadora'!$C$30),'Calculadora'!$C$30,'Calculadora'!$C$28),I45*(1+'Calculadora'!$C$29)+C45+E45-D45,MAX(0,I45-D45+E45)*(1+'Calculadora'!$C$29)))</f>
        <v>503293.5852884182</v>
      </c>
      <c r="K45" s="20">
        <f>IF(A45="","",J45/(1+'Calculadora'!$C$12)^(A45+1))</f>
        <v>232495.5776173645</v>
      </c>
    </row>
    <row r="46">
      <c r="A46">
        <f>IF(39&lt;'Calculadora'!$C$28,39,"")</f>
        <v>39</v>
      </c>
      <c r="B46">
        <f>IF(A46="","",'Calculadora'!$C$7+A46)</f>
        <v>75</v>
      </c>
      <c r="C46" s="20">
        <f>IF(A46="","",'Calculadora'!$C$8*(1+'Calculadora'!$C$13)^A46)</f>
        <v>36853.06271257974</v>
      </c>
      <c r="D46" s="20">
        <f>IF(A46="","",('Calculadora'!$C$9+IF(AND(B46&gt;='Calculadora'!$C$21,B46&lt;='Calculadora'!$C$22),'Calculadora'!$C$20,0))*(1+'Calculadora'!$C$12)^A46)</f>
        <v>32471.171523747846</v>
      </c>
      <c r="E46" s="20">
        <f>IF(A46="","",IF(AND(B46&gt;='Calculadora'!$C$24,B46&lt;='Calculadora'!$C$25),'Calculadora'!$C$23,0)*(1+'Calculadora'!$C$12)^A46)</f>
        <v>0</v>
      </c>
      <c r="F46" s="20">
        <f>IF(A46="","",F45*(1+'Calculadora'!$C$29)+C45+E45-D45)</f>
        <v>1133234.7336990773</v>
      </c>
      <c r="G46" s="20">
        <f>IF(A46="","",D46-E46+IF(A47="",0,MAX(0,G47/(1+'Calculadora'!$C$29))))</f>
        <v>500012.9165795539</v>
      </c>
      <c r="H46" s="21" t="str">
        <f>IF(A46="","",IF('Calculadora'!$C$16="Con la regla del 4 %",IF(F46*'Calculadora'!$C$17&gt;=D46-E46-1E-9,"Sí","No"),IF(F46&gt;=G46-0.005,"Sí","No")))</f>
        <v>Sí</v>
      </c>
      <c r="I46" s="20">
        <f>IF(A46="","",J45)</f>
        <v>503293.5852884182</v>
      </c>
      <c r="J46" s="20">
        <f>IF(A46="","",IF(A46&lt;IF(ISNUMBER('Calculadora'!$C$30),'Calculadora'!$C$30,'Calculadora'!$C$28),I46*(1+'Calculadora'!$C$29)+C46+E46-D46,MAX(0,I46-D46+E46)*(1+'Calculadora'!$C$29)))</f>
        <v>494363.5344529039</v>
      </c>
      <c r="K46" s="20">
        <f>IF(A46="","",J46/(1+'Calculadora'!$C$12)^(A46+1))</f>
        <v>223892.5063708164</v>
      </c>
    </row>
    <row r="47">
      <c r="A47">
        <f>IF(40&lt;'Calculadora'!$C$28,40,"")</f>
        <v>40</v>
      </c>
      <c r="B47">
        <f>IF(A47="","",'Calculadora'!$C$7+A47)</f>
        <v>76</v>
      </c>
      <c r="C47" s="20">
        <f>IF(A47="","",'Calculadora'!$C$8*(1+'Calculadora'!$C$13)^A47)</f>
        <v>37221.593339705534</v>
      </c>
      <c r="D47" s="20">
        <f>IF(A47="","",('Calculadora'!$C$9+IF(AND(B47&gt;='Calculadora'!$C$21,B47&lt;='Calculadora'!$C$22),'Calculadora'!$C$20,0))*(1+'Calculadora'!$C$12)^A47)</f>
        <v>33120.594954222805</v>
      </c>
      <c r="E47" s="20">
        <f>IF(A47="","",IF(AND(B47&gt;='Calculadora'!$C$24,B47&lt;='Calculadora'!$C$25),'Calculadora'!$C$23,0)*(1+'Calculadora'!$C$12)^A47)</f>
        <v>0</v>
      </c>
      <c r="F47" s="20">
        <f>IF(A47="","",F46*(1+'Calculadora'!$C$29)+C46+E46-D46)</f>
        <v>1194278.3615728633</v>
      </c>
      <c r="G47" s="20">
        <f>IF(A47="","",D47-E47+IF(A48="",0,MAX(0,G48/(1+'Calculadora'!$C$29))))</f>
        <v>490918.8323085964</v>
      </c>
      <c r="H47" s="21" t="str">
        <f>IF(A47="","",IF('Calculadora'!$C$16="Con la regla del 4 %",IF(F47*'Calculadora'!$C$17&gt;=D47-E47-1E-9,"Sí","No"),IF(F47&gt;=G47-0.005,"Sí","No")))</f>
        <v>Sí</v>
      </c>
      <c r="I47" s="20">
        <f>IF(A47="","",J46)</f>
        <v>494363.5344529039</v>
      </c>
      <c r="J47" s="20">
        <f>IF(A47="","",IF(A47&lt;IF(ISNUMBER('Calculadora'!$C$30),'Calculadora'!$C$30,'Calculadora'!$C$28),I47*(1+'Calculadora'!$C$29)+C47+E47-D47,MAX(0,I47-D47+E47)*(1+'Calculadora'!$C$29)))</f>
        <v>484305.0864736152</v>
      </c>
      <c r="K47" s="20">
        <f>IF(A47="","",J47/(1+'Calculadora'!$C$12)^(A47+1))</f>
        <v>215036.40361701688</v>
      </c>
    </row>
    <row r="48">
      <c r="A48">
        <f>IF(41&lt;'Calculadora'!$C$28,41,"")</f>
        <v>41</v>
      </c>
      <c r="B48">
        <f>IF(A48="","",'Calculadora'!$C$7+A48)</f>
        <v>77</v>
      </c>
      <c r="C48" s="20">
        <f>IF(A48="","",'Calculadora'!$C$8*(1+'Calculadora'!$C$13)^A48)</f>
        <v>37593.80927310259</v>
      </c>
      <c r="D48" s="20">
        <f>IF(A48="","",('Calculadora'!$C$9+IF(AND(B48&gt;='Calculadora'!$C$21,B48&lt;='Calculadora'!$C$22),'Calculadora'!$C$20,0))*(1+'Calculadora'!$C$12)^A48)</f>
        <v>33783.00685330726</v>
      </c>
      <c r="E48" s="20">
        <f>IF(A48="","",IF(AND(B48&gt;='Calculadora'!$C$24,B48&lt;='Calculadora'!$C$25),'Calculadora'!$C$23,0)*(1+'Calculadora'!$C$12)^A48)</f>
        <v>0</v>
      </c>
      <c r="F48" s="20">
        <f>IF(A48="","",F47*(1+'Calculadora'!$C$29)+C47+E47-D47)</f>
        <v>1258093.2780369893</v>
      </c>
      <c r="G48" s="20">
        <f>IF(A48="","",D48-E48+IF(A49="",0,MAX(0,G49/(1+'Calculadora'!$C$29))))</f>
        <v>480688.1492220923</v>
      </c>
      <c r="H48" s="21" t="str">
        <f>IF(A48="","",IF('Calculadora'!$C$16="Con la regla del 4 %",IF(F48*'Calculadora'!$C$17&gt;=D48-E48-1E-9,"Sí","No"),IF(F48&gt;=G48-0.005,"Sí","No")))</f>
        <v>Sí</v>
      </c>
      <c r="I48" s="20">
        <f>IF(A48="","",J47)</f>
        <v>484305.0864736152</v>
      </c>
      <c r="J48" s="20">
        <f>IF(A48="","",IF(A48&lt;IF(ISNUMBER('Calculadora'!$C$30),'Calculadora'!$C$30,'Calculadora'!$C$28),I48*(1+'Calculadora'!$C$29)+C48+E48-D48,MAX(0,I48-D48+E48)*(1+'Calculadora'!$C$29)))</f>
        <v>473048.18360132334</v>
      </c>
      <c r="K48" s="20">
        <f>IF(A48="","",J48/(1+'Calculadora'!$C$12)^(A48+1))</f>
        <v>205919.8272528115</v>
      </c>
    </row>
    <row r="49">
      <c r="A49">
        <f>IF(42&lt;'Calculadora'!$C$28,42,"")</f>
        <v>42</v>
      </c>
      <c r="B49">
        <f>IF(A49="","",'Calculadora'!$C$7+A49)</f>
        <v>78</v>
      </c>
      <c r="C49" s="20">
        <f>IF(A49="","",'Calculadora'!$C$8*(1+'Calculadora'!$C$13)^A49)</f>
        <v>37969.74736583362</v>
      </c>
      <c r="D49" s="20">
        <f>IF(A49="","",('Calculadora'!$C$9+IF(AND(B49&gt;='Calculadora'!$C$21,B49&lt;='Calculadora'!$C$22),'Calculadora'!$C$20,0))*(1+'Calculadora'!$C$12)^A49)</f>
        <v>34458.66699037341</v>
      </c>
      <c r="E49" s="20">
        <f>IF(A49="","",IF(AND(B49&gt;='Calculadora'!$C$24,B49&lt;='Calculadora'!$C$25),'Calculadora'!$C$23,0)*(1+'Calculadora'!$C$12)^A49)</f>
        <v>0</v>
      </c>
      <c r="F49" s="20">
        <f>IF(A49="","",F48*(1+'Calculadora'!$C$29)+C48+E48-D48)</f>
        <v>1324808.7443586339</v>
      </c>
      <c r="G49" s="20">
        <f>IF(A49="","",D49-E49+IF(A50="",0,MAX(0,G50/(1+'Calculadora'!$C$29))))</f>
        <v>469250.3994872243</v>
      </c>
      <c r="H49" s="21" t="str">
        <f>IF(A49="","",IF('Calculadora'!$C$16="Con la regla del 4 %",IF(F49*'Calculadora'!$C$17&gt;=D49-E49-1E-9,"Sí","No"),IF(F49&gt;=G49-0.005,"Sí","No")))</f>
        <v>Sí</v>
      </c>
      <c r="I49" s="20">
        <f>IF(A49="","",J48)</f>
        <v>473048.18360132334</v>
      </c>
      <c r="J49" s="20">
        <f>IF(A49="","",IF(A49&lt;IF(ISNUMBER('Calculadora'!$C$30),'Calculadora'!$C$30,'Calculadora'!$C$28),I49*(1+'Calculadora'!$C$29)+C49+E49-D49,MAX(0,I49-D49+E49)*(1+'Calculadora'!$C$29)))</f>
        <v>460518.99244149745</v>
      </c>
      <c r="K49" s="20">
        <f>IF(A49="","",J49/(1+'Calculadora'!$C$12)^(A49+1))</f>
        <v>196535.11628965888</v>
      </c>
    </row>
    <row r="50">
      <c r="A50">
        <f>IF(43&lt;'Calculadora'!$C$28,43,"")</f>
        <v>43</v>
      </c>
      <c r="B50">
        <f>IF(A50="","",'Calculadora'!$C$7+A50)</f>
        <v>79</v>
      </c>
      <c r="C50" s="20">
        <f>IF(A50="","",'Calculadora'!$C$8*(1+'Calculadora'!$C$13)^A50)</f>
        <v>38349.44483949195</v>
      </c>
      <c r="D50" s="20">
        <f>IF(A50="","",('Calculadora'!$C$9+IF(AND(B50&gt;='Calculadora'!$C$21,B50&lt;='Calculadora'!$C$22),'Calculadora'!$C$20,0))*(1+'Calculadora'!$C$12)^A50)</f>
        <v>35147.84033018088</v>
      </c>
      <c r="E50" s="20">
        <f>IF(A50="","",IF(AND(B50&gt;='Calculadora'!$C$24,B50&lt;='Calculadora'!$C$25),'Calculadora'!$C$23,0)*(1+'Calculadora'!$C$12)^A50)</f>
        <v>0</v>
      </c>
      <c r="F50" s="20">
        <f>IF(A50="","",F49*(1+'Calculadora'!$C$29)+C49+E49-D49)</f>
        <v>1394560.2619520258</v>
      </c>
      <c r="G50" s="20">
        <f>IF(A50="","",D50-E50+IF(A51="",0,MAX(0,G51/(1+'Calculadora'!$C$29))))</f>
        <v>456531.31912169344</v>
      </c>
      <c r="H50" s="21" t="str">
        <f>IF(A50="","",IF('Calculadora'!$C$16="Con la regla del 4 %",IF(F50*'Calculadora'!$C$17&gt;=D50-E50-1E-9,"Sí","No"),IF(F50&gt;=G50-0.005,"Sí","No")))</f>
        <v>Sí</v>
      </c>
      <c r="I50" s="20">
        <f>IF(A50="","",J49)</f>
        <v>460518.99244149745</v>
      </c>
      <c r="J50" s="20">
        <f>IF(A50="","",IF(A50&lt;IF(ISNUMBER('Calculadora'!$C$30),'Calculadora'!$C$30,'Calculadora'!$C$28),I50*(1+'Calculadora'!$C$29)+C50+E50-D50,MAX(0,I50-D50+E50)*(1+'Calculadora'!$C$29)))</f>
        <v>446639.70971688244</v>
      </c>
      <c r="K50" s="20">
        <f>IF(A50="","",J50/(1+'Calculadora'!$C$12)^(A50+1))</f>
        <v>186874.38441582533</v>
      </c>
    </row>
    <row r="51">
      <c r="A51">
        <f>IF(44&lt;'Calculadora'!$C$28,44,"")</f>
        <v>44</v>
      </c>
      <c r="B51">
        <f>IF(A51="","",'Calculadora'!$C$7+A51)</f>
        <v>80</v>
      </c>
      <c r="C51" s="20">
        <f>IF(A51="","",'Calculadora'!$C$8*(1+'Calculadora'!$C$13)^A51)</f>
        <v>38732.939287886875</v>
      </c>
      <c r="D51" s="20">
        <f>IF(A51="","",('Calculadora'!$C$9+IF(AND(B51&gt;='Calculadora'!$C$21,B51&lt;='Calculadora'!$C$22),'Calculadora'!$C$20,0))*(1+'Calculadora'!$C$12)^A51)</f>
        <v>35850.797136784495</v>
      </c>
      <c r="E51" s="20">
        <f>IF(A51="","",IF(AND(B51&gt;='Calculadora'!$C$24,B51&lt;='Calculadora'!$C$25),'Calculadora'!$C$23,0)*(1+'Calculadora'!$C$12)^A51)</f>
        <v>0</v>
      </c>
      <c r="F51" s="20">
        <f>IF(A51="","",F50*(1+'Calculadora'!$C$29)+C50+E50-D50)</f>
        <v>1467489.879558938</v>
      </c>
      <c r="G51" s="20">
        <f>IF(A51="","",D51-E51+IF(A52="",0,MAX(0,G52/(1+'Calculadora'!$C$29))))</f>
        <v>442452.65273108816</v>
      </c>
      <c r="H51" s="21" t="str">
        <f>IF(A51="","",IF('Calculadora'!$C$16="Con la regla del 4 %",IF(F51*'Calculadora'!$C$17&gt;=D51-E51-1E-9,"Sí","No"),IF(F51&gt;=G51-0.005,"Sí","No")))</f>
        <v>Sí</v>
      </c>
      <c r="I51" s="20">
        <f>IF(A51="","",J50)</f>
        <v>446639.70971688244</v>
      </c>
      <c r="J51" s="20">
        <f>IF(A51="","",IF(A51&lt;IF(ISNUMBER('Calculadora'!$C$30),'Calculadora'!$C$30,'Calculadora'!$C$28),I51*(1+'Calculadora'!$C$29)+C51+E51-D51,MAX(0,I51-D51+E51)*(1+'Calculadora'!$C$29)))</f>
        <v>431328.3582091029</v>
      </c>
      <c r="K51" s="20">
        <f>IF(A51="","",J51/(1+'Calculadora'!$C$12)^(A51+1))</f>
        <v>176929.51336923198</v>
      </c>
    </row>
    <row r="52">
      <c r="A52">
        <f>IF(45&lt;'Calculadora'!$C$28,45,"")</f>
        <v>45</v>
      </c>
      <c r="B52">
        <f>IF(A52="","",'Calculadora'!$C$7+A52)</f>
        <v>81</v>
      </c>
      <c r="C52" s="20">
        <f>IF(A52="","",'Calculadora'!$C$8*(1+'Calculadora'!$C$13)^A52)</f>
        <v>39120.26868076574</v>
      </c>
      <c r="D52" s="20">
        <f>IF(A52="","",('Calculadora'!$C$9+IF(AND(B52&gt;='Calculadora'!$C$21,B52&lt;='Calculadora'!$C$22),'Calculadora'!$C$20,0))*(1+'Calculadora'!$C$12)^A52)</f>
        <v>36567.81307952019</v>
      </c>
      <c r="E52" s="20">
        <f>IF(A52="","",IF(AND(B52&gt;='Calculadora'!$C$24,B52&lt;='Calculadora'!$C$25),'Calculadora'!$C$23,0)*(1+'Calculadora'!$C$12)^A52)</f>
        <v>0</v>
      </c>
      <c r="F52" s="20">
        <f>IF(A52="","",F51*(1+'Calculadora'!$C$29)+C51+E51-D51)</f>
        <v>1543746.5156879874</v>
      </c>
      <c r="G52" s="20">
        <f>IF(A52="","",D52-E52+IF(A53="",0,MAX(0,G53/(1+'Calculadora'!$C$29))))</f>
        <v>426931.9483740189</v>
      </c>
      <c r="H52" s="21" t="str">
        <f>IF(A52="","",IF('Calculadora'!$C$16="Con la regla del 4 %",IF(F52*'Calculadora'!$C$17&gt;=D52-E52-1E-9,"Sí","No"),IF(F52&gt;=G52-0.005,"Sí","No")))</f>
        <v>Sí</v>
      </c>
      <c r="I52" s="20">
        <f>IF(A52="","",J51)</f>
        <v>431328.3582091029</v>
      </c>
      <c r="J52" s="20">
        <f>IF(A52="","",IF(A52&lt;IF(ISNUMBER('Calculadora'!$C$30),'Calculadora'!$C$30,'Calculadora'!$C$28),I52*(1+'Calculadora'!$C$29)+C52+E52-D52,MAX(0,I52-D52+E52)*(1+'Calculadora'!$C$29)))</f>
        <v>414498.57238606183</v>
      </c>
      <c r="K52" s="20">
        <f>IF(A52="","",J52/(1+'Calculadora'!$C$12)^(A52+1))</f>
        <v>166692.14611538587</v>
      </c>
    </row>
    <row r="53">
      <c r="A53">
        <f>IF(46&lt;'Calculadora'!$C$28,46,"")</f>
        <v>46</v>
      </c>
      <c r="B53">
        <f>IF(A53="","",'Calculadora'!$C$7+A53)</f>
        <v>82</v>
      </c>
      <c r="C53" s="20">
        <f>IF(A53="","",'Calculadora'!$C$8*(1+'Calculadora'!$C$13)^A53)</f>
        <v>39511.471367573395</v>
      </c>
      <c r="D53" s="20">
        <f>IF(A53="","",('Calculadora'!$C$9+IF(AND(B53&gt;='Calculadora'!$C$21,B53&lt;='Calculadora'!$C$22),'Calculadora'!$C$20,0))*(1+'Calculadora'!$C$12)^A53)</f>
        <v>37299.16934111059</v>
      </c>
      <c r="E53" s="20">
        <f>IF(A53="","",IF(AND(B53&gt;='Calculadora'!$C$24,B53&lt;='Calculadora'!$C$25),'Calculadora'!$C$23,0)*(1+'Calculadora'!$C$12)^A53)</f>
        <v>0</v>
      </c>
      <c r="F53" s="20">
        <f>IF(A53="","",F52*(1+'Calculadora'!$C$29)+C52+E52-D52)</f>
        <v>1623486.2970736325</v>
      </c>
      <c r="G53" s="20">
        <f>IF(A53="","",D53-E53+IF(A54="",0,MAX(0,G54/(1+'Calculadora'!$C$29))))</f>
        <v>409882.3420592237</v>
      </c>
      <c r="H53" s="21" t="str">
        <f>IF(A53="","",IF('Calculadora'!$C$16="Con la regla del 4 %",IF(F53*'Calculadora'!$C$17&gt;=D53-E53-1E-9,"Sí","No"),IF(F53&gt;=G53-0.005,"Sí","No")))</f>
        <v>Sí</v>
      </c>
      <c r="I53" s="20">
        <f>IF(A53="","",J52)</f>
        <v>414498.57238606183</v>
      </c>
      <c r="J53" s="20">
        <f>IF(A53="","",IF(A53&lt;IF(ISNUMBER('Calculadora'!$C$30),'Calculadora'!$C$30,'Calculadora'!$C$28),I53*(1+'Calculadora'!$C$29)+C53+E53-D53,MAX(0,I53-D53+E53)*(1+'Calculadora'!$C$29)))</f>
        <v>396059.37319719885</v>
      </c>
      <c r="K53" s="20">
        <f>IF(A53="","",J53/(1+'Calculadora'!$C$12)^(A53+1))</f>
        <v>156153.67982466196</v>
      </c>
    </row>
    <row r="54">
      <c r="A54">
        <f>IF(47&lt;'Calculadora'!$C$28,47,"")</f>
        <v>47</v>
      </c>
      <c r="B54">
        <f>IF(A54="","",'Calculadora'!$C$7+A54)</f>
        <v>83</v>
      </c>
      <c r="C54" s="20">
        <f>IF(A54="","",'Calculadora'!$C$8*(1+'Calculadora'!$C$13)^A54)</f>
        <v>39906.58608124914</v>
      </c>
      <c r="D54" s="20">
        <f>IF(A54="","",('Calculadora'!$C$9+IF(AND(B54&gt;='Calculadora'!$C$21,B54&lt;='Calculadora'!$C$22),'Calculadora'!$C$20,0))*(1+'Calculadora'!$C$12)^A54)</f>
        <v>38045.1527279328</v>
      </c>
      <c r="E54" s="20">
        <f>IF(A54="","",IF(AND(B54&gt;='Calculadora'!$C$24,B54&lt;='Calculadora'!$C$25),'Calculadora'!$C$23,0)*(1+'Calculadora'!$C$12)^A54)</f>
        <v>0</v>
      </c>
      <c r="F54" s="20">
        <f>IF(A54="","",F53*(1+'Calculadora'!$C$29)+C53+E53-D53)</f>
        <v>1706872.913953777</v>
      </c>
      <c r="G54" s="20">
        <f>IF(A54="","",D54-E54+IF(A55="",0,MAX(0,G55/(1+'Calculadora'!$C$29))))</f>
        <v>391212.33135401877</v>
      </c>
      <c r="H54" s="21" t="str">
        <f>IF(A54="","",IF('Calculadora'!$C$16="Con la regla del 4 %",IF(F54*'Calculadora'!$C$17&gt;=D54-E54-1E-9,"Sí","No"),IF(F54&gt;=G54-0.005,"Sí","No")))</f>
        <v>Sí</v>
      </c>
      <c r="I54" s="20">
        <f>IF(A54="","",J53)</f>
        <v>396059.37319719885</v>
      </c>
      <c r="J54" s="20">
        <f>IF(A54="","",IF(A54&lt;IF(ISNUMBER('Calculadora'!$C$30),'Calculadora'!$C$30,'Calculadora'!$C$28),I54*(1+'Calculadora'!$C$29)+C54+E54-D54,MAX(0,I54-D54+E54)*(1+'Calculadora'!$C$29)))</f>
        <v>375914.9314927294</v>
      </c>
      <c r="K54" s="20">
        <f>IF(A54="","",J54/(1+'Calculadora'!$C$12)^(A54+1))</f>
        <v>145305.25864303435</v>
      </c>
    </row>
    <row r="55">
      <c r="A55">
        <f>IF(48&lt;'Calculadora'!$C$28,48,"")</f>
        <v>48</v>
      </c>
      <c r="B55">
        <f>IF(A55="","",'Calculadora'!$C$7+A55)</f>
        <v>84</v>
      </c>
      <c r="C55" s="20">
        <f>IF(A55="","",'Calculadora'!$C$8*(1+'Calculadora'!$C$13)^A55)</f>
        <v>40305.651942061624</v>
      </c>
      <c r="D55" s="20">
        <f>IF(A55="","",('Calculadora'!$C$9+IF(AND(B55&gt;='Calculadora'!$C$21,B55&lt;='Calculadora'!$C$22),'Calculadora'!$C$20,0))*(1+'Calculadora'!$C$12)^A55)</f>
        <v>38806.055782491465</v>
      </c>
      <c r="E55" s="20">
        <f>IF(A55="","",IF(AND(B55&gt;='Calculadora'!$C$24,B55&lt;='Calculadora'!$C$25),'Calculadora'!$C$23,0)*(1+'Calculadora'!$C$12)^A55)</f>
        <v>0</v>
      </c>
      <c r="F55" s="20">
        <f>IF(A55="","",F54*(1+'Calculadora'!$C$29)+C54+E54-D54)</f>
        <v>1794077.9930047821</v>
      </c>
      <c r="G55" s="20">
        <f>IF(A55="","",D55-E55+IF(A56="",0,MAX(0,G56/(1+'Calculadora'!$C$29))))</f>
        <v>370825.5375573903</v>
      </c>
      <c r="H55" s="21" t="str">
        <f>IF(A55="","",IF('Calculadora'!$C$16="Con la regla del 4 %",IF(F55*'Calculadora'!$C$17&gt;=D55-E55-1E-9,"Sí","No"),IF(F55&gt;=G55-0.005,"Sí","No")))</f>
        <v>Sí</v>
      </c>
      <c r="I55" s="20">
        <f>IF(A55="","",J54)</f>
        <v>375914.9314927294</v>
      </c>
      <c r="J55" s="20">
        <f>IF(A55="","",IF(A55&lt;IF(ISNUMBER('Calculadora'!$C$30),'Calculadora'!$C$30,'Calculadora'!$C$28),I55*(1+'Calculadora'!$C$29)+C55+E55-D55,MAX(0,I55-D55+E55)*(1+'Calculadora'!$C$29)))</f>
        <v>353964.31949574983</v>
      </c>
      <c r="K55" s="20">
        <f>IF(A55="","",J55/(1+'Calculadora'!$C$12)^(A55+1))</f>
        <v>134137.76625018244</v>
      </c>
    </row>
    <row r="56">
      <c r="A56">
        <f>IF(49&lt;'Calculadora'!$C$28,49,"")</f>
        <v>49</v>
      </c>
      <c r="B56">
        <f>IF(A56="","",'Calculadora'!$C$7+A56)</f>
        <v>85</v>
      </c>
      <c r="C56" s="20">
        <f>IF(A56="","",'Calculadora'!$C$8*(1+'Calculadora'!$C$13)^A56)</f>
        <v>40708.70846148224</v>
      </c>
      <c r="D56" s="20">
        <f>IF(A56="","",('Calculadora'!$C$9+IF(AND(B56&gt;='Calculadora'!$C$21,B56&lt;='Calculadora'!$C$22),'Calculadora'!$C$20,0))*(1+'Calculadora'!$C$12)^A56)</f>
        <v>39582.17689814129</v>
      </c>
      <c r="E56" s="20">
        <f>IF(A56="","",IF(AND(B56&gt;='Calculadora'!$C$24,B56&lt;='Calculadora'!$C$25),'Calculadora'!$C$23,0)*(1+'Calculadora'!$C$12)^A56)</f>
        <v>0</v>
      </c>
      <c r="F56" s="20">
        <f>IF(A56="","",F55*(1+'Calculadora'!$C$29)+C55+E55-D55)</f>
        <v>1885281.4888145914</v>
      </c>
      <c r="G56" s="20">
        <f>IF(A56="","",D56-E56+IF(A57="",0,MAX(0,G57/(1+'Calculadora'!$C$29))))</f>
        <v>348620.4558636438</v>
      </c>
      <c r="H56" s="21" t="str">
        <f>IF(A56="","",IF('Calculadora'!$C$16="Con la regla del 4 %",IF(F56*'Calculadora'!$C$17&gt;=D56-E56-1E-9,"Sí","No"),IF(F56&gt;=G56-0.005,"Sí","No")))</f>
        <v>Sí</v>
      </c>
      <c r="I56" s="20">
        <f>IF(A56="","",J55)</f>
        <v>353964.31949574983</v>
      </c>
      <c r="J56" s="20">
        <f>IF(A56="","",IF(A56&lt;IF(ISNUMBER('Calculadora'!$C$30),'Calculadora'!$C$30,'Calculadora'!$C$28),I56*(1+'Calculadora'!$C$29)+C56+E56-D56,MAX(0,I56-D56+E56)*(1+'Calculadora'!$C$29)))</f>
        <v>330101.249727489</v>
      </c>
      <c r="K56" s="20">
        <f>IF(A56="","",J56/(1+'Calculadora'!$C$12)^(A56+1))</f>
        <v>122641.81819871723</v>
      </c>
    </row>
    <row r="57">
      <c r="A57">
        <f>IF(50&lt;'Calculadora'!$C$28,50,"")</f>
        <v>50</v>
      </c>
      <c r="B57">
        <f>IF(A57="","",'Calculadora'!$C$7+A57)</f>
        <v>86</v>
      </c>
      <c r="C57" s="20">
        <f>IF(A57="","",'Calculadora'!$C$8*(1+'Calculadora'!$C$13)^A57)</f>
        <v>41115.79554609707</v>
      </c>
      <c r="D57" s="20">
        <f>IF(A57="","",('Calculadora'!$C$9+IF(AND(B57&gt;='Calculadora'!$C$21,B57&lt;='Calculadora'!$C$22),'Calculadora'!$C$20,0))*(1+'Calculadora'!$C$12)^A57)</f>
        <v>40373.82043610412</v>
      </c>
      <c r="E57" s="20">
        <f>IF(A57="","",IF(AND(B57&gt;='Calculadora'!$C$24,B57&lt;='Calculadora'!$C$25),'Calculadora'!$C$23,0)*(1+'Calculadora'!$C$12)^A57)</f>
        <v>0</v>
      </c>
      <c r="F57" s="20">
        <f>IF(A57="","",F56*(1+'Calculadora'!$C$29)+C56+E56-D56)</f>
        <v>1980672.094818662</v>
      </c>
      <c r="G57" s="20">
        <f>IF(A57="","",D57-E57+IF(A58="",0,MAX(0,G58/(1+'Calculadora'!$C$29))))</f>
        <v>324490.19291377766</v>
      </c>
      <c r="H57" s="21" t="str">
        <f>IF(A57="","",IF('Calculadora'!$C$16="Con la regla del 4 %",IF(F57*'Calculadora'!$C$17&gt;=D57-E57-1E-9,"Sí","No"),IF(F57&gt;=G57-0.005,"Sí","No")))</f>
        <v>Sí</v>
      </c>
      <c r="I57" s="20">
        <f>IF(A57="","",J56)</f>
        <v>330101.249727489</v>
      </c>
      <c r="J57" s="20">
        <f>IF(A57="","",IF(A57&lt;IF(ISNUMBER('Calculadora'!$C$30),'Calculadora'!$C$30,'Calculadora'!$C$28),I57*(1+'Calculadora'!$C$29)+C57+E57-D57,MAX(0,I57-D57+E57)*(1+'Calculadora'!$C$29)))</f>
        <v>304213.8007559541</v>
      </c>
      <c r="K57" s="20">
        <f>IF(A57="","",J57/(1+'Calculadora'!$C$12)^(A57+1))</f>
        <v>110807.75402809125</v>
      </c>
    </row>
    <row r="58">
      <c r="A58">
        <f>IF(51&lt;'Calculadora'!$C$28,51,"")</f>
        <v>51</v>
      </c>
      <c r="B58">
        <f>IF(A58="","",'Calculadora'!$C$7+A58)</f>
        <v>87</v>
      </c>
      <c r="C58" s="20">
        <f>IF(A58="","",'Calculadora'!$C$8*(1+'Calculadora'!$C$13)^A58)</f>
        <v>41526.95350155804</v>
      </c>
      <c r="D58" s="20">
        <f>IF(A58="","",('Calculadora'!$C$9+IF(AND(B58&gt;='Calculadora'!$C$21,B58&lt;='Calculadora'!$C$22),'Calculadora'!$C$20,0))*(1+'Calculadora'!$C$12)^A58)</f>
        <v>41181.2968448262</v>
      </c>
      <c r="E58" s="20">
        <f>IF(A58="","",IF(AND(B58&gt;='Calculadora'!$C$24,B58&lt;='Calculadora'!$C$25),'Calculadora'!$C$23,0)*(1+'Calculadora'!$C$12)^A58)</f>
        <v>0</v>
      </c>
      <c r="F58" s="20">
        <f>IF(A58="","",F57*(1+'Calculadora'!$C$29)+C57+E57-D57)</f>
        <v>2080447.674669588</v>
      </c>
      <c r="G58" s="20">
        <f>IF(A58="","",D58-E58+IF(A59="",0,MAX(0,G59/(1+'Calculadora'!$C$29))))</f>
        <v>298322.1911015572</v>
      </c>
      <c r="H58" s="21" t="str">
        <f>IF(A58="","",IF('Calculadora'!$C$16="Con la regla del 4 %",IF(F58*'Calculadora'!$C$17&gt;=D58-E58-1E-9,"Sí","No"),IF(F58&gt;=G58-0.005,"Sí","No")))</f>
        <v>Sí</v>
      </c>
      <c r="I58" s="20">
        <f>IF(A58="","",J57)</f>
        <v>304213.8007559541</v>
      </c>
      <c r="J58" s="20">
        <f>IF(A58="","",IF(A58&lt;IF(ISNUMBER('Calculadora'!$C$30),'Calculadora'!$C$30,'Calculadora'!$C$28),I58*(1+'Calculadora'!$C$29)+C58+E58-D58,MAX(0,I58-D58+E58)*(1+'Calculadora'!$C$29)))</f>
        <v>276184.12910668436</v>
      </c>
      <c r="K58" s="20">
        <f>IF(A58="","",J58/(1+'Calculadora'!$C$12)^(A58+1))</f>
        <v>98625.62914656453</v>
      </c>
    </row>
    <row r="59">
      <c r="A59">
        <f>IF(52&lt;'Calculadora'!$C$28,52,"")</f>
        <v>52</v>
      </c>
      <c r="B59">
        <f>IF(A59="","",'Calculadora'!$C$7+A59)</f>
        <v>88</v>
      </c>
      <c r="C59" s="20">
        <f>IF(A59="","",'Calculadora'!$C$8*(1+'Calculadora'!$C$13)^A59)</f>
        <v>41942.22303657362</v>
      </c>
      <c r="D59" s="20">
        <f>IF(A59="","",('Calculadora'!$C$9+IF(AND(B59&gt;='Calculadora'!$C$21,B59&lt;='Calculadora'!$C$22),'Calculadora'!$C$20,0))*(1+'Calculadora'!$C$12)^A59)</f>
        <v>42004.92278172272</v>
      </c>
      <c r="E59" s="20">
        <f>IF(A59="","",IF(AND(B59&gt;='Calculadora'!$C$24,B59&lt;='Calculadora'!$C$25),'Calculadora'!$C$23,0)*(1+'Calculadora'!$C$12)^A59)</f>
        <v>0</v>
      </c>
      <c r="F59" s="20">
        <f>IF(A59="","",F58*(1+'Calculadora'!$C$29)+C58+E58-D58)</f>
        <v>2184815.715059799</v>
      </c>
      <c r="G59" s="20">
        <f>IF(A59="","",D59-E59+IF(A60="",0,MAX(0,G60/(1+'Calculadora'!$C$29))))</f>
        <v>269997.9389695676</v>
      </c>
      <c r="H59" s="21" t="str">
        <f>IF(A59="","",IF('Calculadora'!$C$16="Con la regla del 4 %",IF(F59*'Calculadora'!$C$17&gt;=D59-E59-1E-9,"Sí","No"),IF(F59&gt;=G59-0.005,"Sí","No")))</f>
        <v>Sí</v>
      </c>
      <c r="I59" s="20">
        <f>IF(A59="","",J58)</f>
        <v>276184.12910668436</v>
      </c>
      <c r="J59" s="20">
        <f>IF(A59="","",IF(A59&lt;IF(ISNUMBER('Calculadora'!$C$30),'Calculadora'!$C$30,'Calculadora'!$C$28),I59*(1+'Calculadora'!$C$29)+C59+E59-D59,MAX(0,I59-D59+E59)*(1+'Calculadora'!$C$29)))</f>
        <v>245888.1666412097</v>
      </c>
      <c r="K59" s="20">
        <f>IF(A59="","",J59/(1+'Calculadora'!$C$12)^(A59+1))</f>
        <v>86085.20647440467</v>
      </c>
    </row>
    <row r="60">
      <c r="A60">
        <f>IF(53&lt;'Calculadora'!$C$28,53,"")</f>
        <v>53</v>
      </c>
      <c r="B60">
        <f>IF(A60="","",'Calculadora'!$C$7+A60)</f>
        <v>89</v>
      </c>
      <c r="C60" s="20">
        <f>IF(A60="","",'Calculadora'!$C$8*(1+'Calculadora'!$C$13)^A60)</f>
        <v>42361.645266939355</v>
      </c>
      <c r="D60" s="20">
        <f>IF(A60="","",('Calculadora'!$C$9+IF(AND(B60&gt;='Calculadora'!$C$21,B60&lt;='Calculadora'!$C$22),'Calculadora'!$C$20,0))*(1+'Calculadora'!$C$12)^A60)</f>
        <v>42845.02123735718</v>
      </c>
      <c r="E60" s="20">
        <f>IF(A60="","",IF(AND(B60&gt;='Calculadora'!$C$24,B60&lt;='Calculadora'!$C$25),'Calculadora'!$C$23,0)*(1+'Calculadora'!$C$12)^A60)</f>
        <v>0</v>
      </c>
      <c r="F60" s="20">
        <f>IF(A60="","",F59*(1+'Calculadora'!$C$29)+C59+E59-D59)</f>
        <v>2293993.8010676405</v>
      </c>
      <c r="G60" s="20">
        <f>IF(A60="","",D60-E60+IF(A61="",0,MAX(0,G61/(1+'Calculadora'!$C$29))))</f>
        <v>239392.6669972371</v>
      </c>
      <c r="H60" s="21" t="str">
        <f>IF(A60="","",IF('Calculadora'!$C$16="Con la regla del 4 %",IF(F60*'Calculadora'!$C$17&gt;=D60-E60-1E-9,"Sí","No"),IF(F60&gt;=G60-0.005,"Sí","No")))</f>
        <v>Sí</v>
      </c>
      <c r="I60" s="20">
        <f>IF(A60="","",J59)</f>
        <v>245888.1666412097</v>
      </c>
      <c r="J60" s="20">
        <f>IF(A60="","",IF(A60&lt;IF(ISNUMBER('Calculadora'!$C$30),'Calculadora'!$C$30,'Calculadora'!$C$28),I60*(1+'Calculadora'!$C$29)+C60+E60-D60,MAX(0,I60-D60+E60)*(1+'Calculadora'!$C$29)))</f>
        <v>213195.30267404518</v>
      </c>
      <c r="K60" s="20">
        <f>IF(A60="","",J60/(1+'Calculadora'!$C$12)^(A60+1))</f>
        <v>73175.94784129893</v>
      </c>
    </row>
    <row r="61">
      <c r="A61">
        <f>IF(54&lt;'Calculadora'!$C$28,54,"")</f>
        <v>54</v>
      </c>
      <c r="B61">
        <f>IF(A61="","",'Calculadora'!$C$7+A61)</f>
        <v>90</v>
      </c>
      <c r="C61" s="20">
        <f>IF(A61="","",'Calculadora'!$C$8*(1+'Calculadora'!$C$13)^A61)</f>
        <v>42785.261719608745</v>
      </c>
      <c r="D61" s="20">
        <f>IF(A61="","",('Calculadora'!$C$9+IF(AND(B61&gt;='Calculadora'!$C$21,B61&lt;='Calculadora'!$C$22),'Calculadora'!$C$20,0))*(1+'Calculadora'!$C$12)^A61)</f>
        <v>43701.92166210432</v>
      </c>
      <c r="E61" s="20">
        <f>IF(A61="","",IF(AND(B61&gt;='Calculadora'!$C$24,B61&lt;='Calculadora'!$C$25),'Calculadora'!$C$23,0)*(1+'Calculadora'!$C$12)^A61)</f>
        <v>0</v>
      </c>
      <c r="F61" s="20">
        <f>IF(A61="","",F60*(1+'Calculadora'!$C$29)+C60+E60-D60)</f>
        <v>2408210.115150605</v>
      </c>
      <c r="G61" s="20">
        <f>IF(A61="","",D61-E61+IF(A62="",0,MAX(0,G62/(1+'Calculadora'!$C$29))))</f>
        <v>206375.02804787393</v>
      </c>
      <c r="H61" s="21" t="str">
        <f>IF(A61="","",IF('Calculadora'!$C$16="Con la regla del 4 %",IF(F61*'Calculadora'!$C$17&gt;=D61-E61-1E-9,"Sí","No"),IF(F61&gt;=G61-0.005,"Sí","No")))</f>
        <v>Sí</v>
      </c>
      <c r="I61" s="20">
        <f>IF(A61="","",J60)</f>
        <v>213195.30267404518</v>
      </c>
      <c r="J61" s="20">
        <f>IF(A61="","",IF(A61&lt;IF(ISNUMBER('Calculadora'!$C$30),'Calculadora'!$C$30,'Calculadora'!$C$28),I61*(1+'Calculadora'!$C$29)+C61+E61-D61,MAX(0,I61-D61+E61)*(1+'Calculadora'!$C$29)))</f>
        <v>177968.05006253792</v>
      </c>
      <c r="K61" s="20">
        <f>IF(A61="","",J61/(1+'Calculadora'!$C$12)^(A61+1))</f>
        <v>59887.0051307489</v>
      </c>
    </row>
    <row r="62">
      <c r="A62">
        <f>IF(55&lt;'Calculadora'!$C$28,55,"")</f>
        <v>55</v>
      </c>
      <c r="B62">
        <f>IF(A62="","",'Calculadora'!$C$7+A62)</f>
        <v>91</v>
      </c>
      <c r="C62" s="20">
        <f>IF(A62="","",'Calculadora'!$C$8*(1+'Calculadora'!$C$13)^A62)</f>
        <v>43213.114336804836</v>
      </c>
      <c r="D62" s="20">
        <f>IF(A62="","",('Calculadora'!$C$9+IF(AND(B62&gt;='Calculadora'!$C$21,B62&lt;='Calculadora'!$C$22),'Calculadora'!$C$20,0))*(1+'Calculadora'!$C$12)^A62)</f>
        <v>44575.96009534641</v>
      </c>
      <c r="E62" s="20">
        <f>IF(A62="","",IF(AND(B62&gt;='Calculadora'!$C$24,B62&lt;='Calculadora'!$C$25),'Calculadora'!$C$23,0)*(1+'Calculadora'!$C$12)^A62)</f>
        <v>0</v>
      </c>
      <c r="F62" s="20">
        <f>IF(A62="","",F61*(1+'Calculadora'!$C$29)+C61+E61-D61)</f>
        <v>2527703.9609656394</v>
      </c>
      <c r="G62" s="20">
        <f>IF(A62="","",D62-E62+IF(A63="",0,MAX(0,G63/(1+'Calculadora'!$C$29))))</f>
        <v>170806.7617050581</v>
      </c>
      <c r="H62" s="21" t="str">
        <f>IF(A62="","",IF('Calculadora'!$C$16="Con la regla del 4 %",IF(F62*'Calculadora'!$C$17&gt;=D62-E62-1E-9,"Sí","No"),IF(F62&gt;=G62-0.005,"Sí","No")))</f>
        <v>Sí</v>
      </c>
      <c r="I62" s="20">
        <f>IF(A62="","",J61)</f>
        <v>177968.05006253792</v>
      </c>
      <c r="J62" s="20">
        <f>IF(A62="","",IF(A62&lt;IF(ISNUMBER('Calculadora'!$C$30),'Calculadora'!$C$30,'Calculadora'!$C$28),I62*(1+'Calculadora'!$C$29)+C62+E62-D62,MAX(0,I62-D62+E62)*(1+'Calculadora'!$C$29)))</f>
        <v>140061.6944655511</v>
      </c>
      <c r="K62" s="20">
        <f>IF(A62="","",J62/(1+'Calculadora'!$C$12)^(A62+1))</f>
        <v>46207.21116400622</v>
      </c>
    </row>
    <row r="63">
      <c r="A63">
        <f>IF(56&lt;'Calculadora'!$C$28,56,"")</f>
        <v>56</v>
      </c>
      <c r="B63">
        <f>IF(A63="","",'Calculadora'!$C$7+A63)</f>
        <v>92</v>
      </c>
      <c r="C63" s="20">
        <f>IF(A63="","",'Calculadora'!$C$8*(1+'Calculadora'!$C$13)^A63)</f>
        <v>43645.24548017288</v>
      </c>
      <c r="D63" s="20">
        <f>IF(A63="","",('Calculadora'!$C$9+IF(AND(B63&gt;='Calculadora'!$C$21,B63&lt;='Calculadora'!$C$22),'Calculadora'!$C$20,0))*(1+'Calculadora'!$C$12)^A63)</f>
        <v>45467.47929725334</v>
      </c>
      <c r="E63" s="20">
        <f>IF(A63="","",IF(AND(B63&gt;='Calculadora'!$C$24,B63&lt;='Calculadora'!$C$25),'Calculadora'!$C$23,0)*(1+'Calculadora'!$C$12)^A63)</f>
        <v>0</v>
      </c>
      <c r="F63" s="20">
        <f>IF(A63="","",F62*(1+'Calculadora'!$C$29)+C62+E62-D62)</f>
        <v>2652726.31325538</v>
      </c>
      <c r="G63" s="20">
        <f>IF(A63="","",D63-E63+IF(A64="",0,MAX(0,G64/(1+'Calculadora'!$C$29))))</f>
        <v>132542.34169019727</v>
      </c>
      <c r="H63" s="21" t="str">
        <f>IF(A63="","",IF('Calculadora'!$C$16="Con la regla del 4 %",IF(F63*'Calculadora'!$C$17&gt;=D63-E63-1E-9,"Sí","No"),IF(F63&gt;=G63-0.005,"Sí","No")))</f>
        <v>Sí</v>
      </c>
      <c r="I63" s="20">
        <f>IF(A63="","",J62)</f>
        <v>140061.6944655511</v>
      </c>
      <c r="J63" s="20">
        <f>IF(A63="","",IF(A63&lt;IF(ISNUMBER('Calculadora'!$C$30),'Calculadora'!$C$30,'Calculadora'!$C$28),I63*(1+'Calculadora'!$C$29)+C63+E63-D63,MAX(0,I63-D63+E63)*(1+'Calculadora'!$C$29)))</f>
        <v>99323.92592671265</v>
      </c>
      <c r="K63" s="20">
        <f>IF(A63="","",J63/(1+'Calculadora'!$C$12)^(A63+1))</f>
        <v>32125.070315888763</v>
      </c>
    </row>
    <row r="64">
      <c r="A64">
        <f>IF(57&lt;'Calculadora'!$C$28,57,"")</f>
        <v>57</v>
      </c>
      <c r="B64">
        <f>IF(A64="","",'Calculadora'!$C$7+A64)</f>
        <v>93</v>
      </c>
      <c r="C64" s="20">
        <f>IF(A64="","",'Calculadora'!$C$8*(1+'Calculadora'!$C$13)^A64)</f>
        <v>44081.69793497461</v>
      </c>
      <c r="D64" s="20">
        <f>IF(A64="","",('Calculadora'!$C$9+IF(AND(B64&gt;='Calculadora'!$C$21,B64&lt;='Calculadora'!$C$22),'Calculadora'!$C$20,0))*(1+'Calculadora'!$C$12)^A64)</f>
        <v>46376.82888319841</v>
      </c>
      <c r="E64" s="20">
        <f>IF(A64="","",IF(AND(B64&gt;='Calculadora'!$C$24,B64&lt;='Calculadora'!$C$25),'Calculadora'!$C$23,0)*(1+'Calculadora'!$C$12)^A64)</f>
        <v>0</v>
      </c>
      <c r="F64" s="20">
        <f>IF(A64="","",F63*(1+'Calculadora'!$C$29)+C63+E63-D63)</f>
        <v>2783540.3951010685</v>
      </c>
      <c r="G64" s="20">
        <f>IF(A64="","",D64-E64+IF(A65="",0,MAX(0,G65/(1+'Calculadora'!$C$29))))</f>
        <v>91428.60551259114</v>
      </c>
      <c r="H64" s="21" t="str">
        <f>IF(A64="","",IF('Calculadora'!$C$16="Con la regla del 4 %",IF(F64*'Calculadora'!$C$17&gt;=D64-E64-1E-9,"Sí","No"),IF(F64&gt;=G64-0.005,"Sí","No")))</f>
        <v>Sí</v>
      </c>
      <c r="I64" s="20">
        <f>IF(A64="","",J63)</f>
        <v>99323.92592671265</v>
      </c>
      <c r="J64" s="20">
        <f>IF(A64="","",IF(A64&lt;IF(ISNUMBER('Calculadora'!$C$30),'Calculadora'!$C$30,'Calculadora'!$C$28),I64*(1+'Calculadora'!$C$29)+C64+E64-D64,MAX(0,I64-D64+E64)*(1+'Calculadora'!$C$29)))</f>
        <v>55594.45189568995</v>
      </c>
      <c r="K64" s="20">
        <f>IF(A64="","",J64/(1+'Calculadora'!$C$12)^(A64+1))</f>
        <v>17628.74885459137</v>
      </c>
    </row>
    <row r="65">
      <c r="A65">
        <f>IF(58&lt;'Calculadora'!$C$28,58,"")</f>
        <v>58</v>
      </c>
      <c r="B65">
        <f>IF(A65="","",'Calculadora'!$C$7+A65)</f>
        <v>94</v>
      </c>
      <c r="C65" s="20">
        <f>IF(A65="","",'Calculadora'!$C$8*(1+'Calculadora'!$C$13)^A65)</f>
        <v>44522.51491432436</v>
      </c>
      <c r="D65" s="20">
        <f>IF(A65="","",('Calculadora'!$C$9+IF(AND(B65&gt;='Calculadora'!$C$21,B65&lt;='Calculadora'!$C$22),'Calculadora'!$C$20,0))*(1+'Calculadora'!$C$12)^A65)</f>
        <v>47304.36546086238</v>
      </c>
      <c r="E65" s="20">
        <f>IF(A65="","",IF(AND(B65&gt;='Calculadora'!$C$24,B65&lt;='Calculadora'!$C$25),'Calculadora'!$C$23,0)*(1+'Calculadora'!$C$12)^A65)</f>
        <v>0</v>
      </c>
      <c r="F65" s="20">
        <f>IF(A65="","",F64*(1+'Calculadora'!$C$29)+C64+E64-D64)</f>
        <v>2920422.283907898</v>
      </c>
      <c r="G65" s="20">
        <f>IF(A65="","",D65-E65+IF(A66="",0,MAX(0,G66/(1+'Calculadora'!$C$29))))</f>
        <v>47304.36546086238</v>
      </c>
      <c r="H65" s="21" t="str">
        <f>IF(A65="","",IF('Calculadora'!$C$16="Con la regla del 4 %",IF(F65*'Calculadora'!$C$17&gt;=D65-E65-1E-9,"Sí","No"),IF(F65&gt;=G65-0.005,"Sí","No")))</f>
        <v>Sí</v>
      </c>
      <c r="I65" s="20">
        <f>IF(A65="","",J64)</f>
        <v>55594.45189568995</v>
      </c>
      <c r="J65" s="20">
        <f>IF(A65="","",IF(A65&lt;IF(ISNUMBER('Calculadora'!$C$30),'Calculadora'!$C$30,'Calculadora'!$C$28),I65*(1+'Calculadora'!$C$29)+C65+E65-D65,MAX(0,I65-D65+E65)*(1+'Calculadora'!$C$29)))</f>
        <v>8704.59075656895</v>
      </c>
      <c r="K65" s="20">
        <f>IF(A65="","",J65/(1+'Calculadora'!$C$12)^(A65+1))</f>
        <v>2706.06499737347</v>
      </c>
    </row>
    <row r="66">
      <c r="A66" t="str">
        <f>IF(59&lt;'Calculadora'!$C$28,59,"")</f>
        <v/>
      </c>
      <c r="B66" t="str">
        <f>IF(A66="","",'Calculadora'!$C$7+A66)</f>
        <v/>
      </c>
      <c r="C66" s="20" t="str">
        <f>IF(A66="","",'Calculadora'!$C$8*(1+'Calculadora'!$C$13)^A66)</f>
        <v/>
      </c>
      <c r="D66" s="20" t="str">
        <f>IF(A66="","",('Calculadora'!$C$9+IF(AND(B66&gt;='Calculadora'!$C$21,B66&lt;='Calculadora'!$C$22),'Calculadora'!$C$20,0))*(1+'Calculadora'!$C$12)^A66)</f>
        <v/>
      </c>
      <c r="E66" s="20" t="str">
        <f>IF(A66="","",IF(AND(B66&gt;='Calculadora'!$C$24,B66&lt;='Calculadora'!$C$25),'Calculadora'!$C$23,0)*(1+'Calculadora'!$C$12)^A66)</f>
        <v/>
      </c>
      <c r="F66" s="20" t="str">
        <f>IF(A66="","",F65*(1+'Calculadora'!$C$29)+C65+E65-D65)</f>
        <v/>
      </c>
      <c r="G66" s="20" t="str">
        <f>IF(A66="","",D66-E66+IF(A67="",0,MAX(0,G67/(1+'Calculadora'!$C$29))))</f>
        <v/>
      </c>
      <c r="H66" s="21" t="str">
        <f>IF(A66="","",IF('Calculadora'!$C$16="Con la regla del 4 %",IF(F66*'Calculadora'!$C$17&gt;=D66-E66-1E-9,"Sí","No"),IF(F66&gt;=G66-0.005,"Sí","No")))</f>
        <v/>
      </c>
      <c r="I66" s="20" t="str">
        <f>IF(A66="","",J65)</f>
        <v/>
      </c>
      <c r="J66" s="20" t="str">
        <f>IF(A66="","",IF(A66&lt;IF(ISNUMBER('Calculadora'!$C$30),'Calculadora'!$C$30,'Calculadora'!$C$28),I66*(1+'Calculadora'!$C$29)+C66+E66-D66,MAX(0,I66-D66+E66)*(1+'Calculadora'!$C$29)))</f>
        <v/>
      </c>
      <c r="K66" s="20" t="str">
        <f>IF(A66="","",J66/(1+'Calculadora'!$C$12)^(A66+1))</f>
        <v/>
      </c>
    </row>
    <row r="67">
      <c r="A67" t="str">
        <f>IF(60&lt;'Calculadora'!$C$28,60,"")</f>
        <v/>
      </c>
      <c r="B67" t="str">
        <f>IF(A67="","",'Calculadora'!$C$7+A67)</f>
        <v/>
      </c>
      <c r="C67" s="20" t="str">
        <f>IF(A67="","",'Calculadora'!$C$8*(1+'Calculadora'!$C$13)^A67)</f>
        <v/>
      </c>
      <c r="D67" s="20" t="str">
        <f>IF(A67="","",('Calculadora'!$C$9+IF(AND(B67&gt;='Calculadora'!$C$21,B67&lt;='Calculadora'!$C$22),'Calculadora'!$C$20,0))*(1+'Calculadora'!$C$12)^A67)</f>
        <v/>
      </c>
      <c r="E67" s="20" t="str">
        <f>IF(A67="","",IF(AND(B67&gt;='Calculadora'!$C$24,B67&lt;='Calculadora'!$C$25),'Calculadora'!$C$23,0)*(1+'Calculadora'!$C$12)^A67)</f>
        <v/>
      </c>
      <c r="F67" s="20" t="str">
        <f>IF(A67="","",F66*(1+'Calculadora'!$C$29)+C66+E66-D66)</f>
        <v/>
      </c>
      <c r="G67" s="20" t="str">
        <f>IF(A67="","",D67-E67+IF(A68="",0,MAX(0,G68/(1+'Calculadora'!$C$29))))</f>
        <v/>
      </c>
      <c r="H67" s="21" t="str">
        <f>IF(A67="","",IF('Calculadora'!$C$16="Con la regla del 4 %",IF(F67*'Calculadora'!$C$17&gt;=D67-E67-1E-9,"Sí","No"),IF(F67&gt;=G67-0.005,"Sí","No")))</f>
        <v/>
      </c>
      <c r="I67" s="20" t="str">
        <f>IF(A67="","",J66)</f>
        <v/>
      </c>
      <c r="J67" s="20" t="str">
        <f>IF(A67="","",IF(A67&lt;IF(ISNUMBER('Calculadora'!$C$30),'Calculadora'!$C$30,'Calculadora'!$C$28),I67*(1+'Calculadora'!$C$29)+C67+E67-D67,MAX(0,I67-D67+E67)*(1+'Calculadora'!$C$29)))</f>
        <v/>
      </c>
      <c r="K67" s="20" t="str">
        <f>IF(A67="","",J67/(1+'Calculadora'!$C$12)^(A67+1))</f>
        <v/>
      </c>
    </row>
    <row r="68">
      <c r="A68" t="str">
        <f>IF(61&lt;'Calculadora'!$C$28,61,"")</f>
        <v/>
      </c>
      <c r="B68" t="str">
        <f>IF(A68="","",'Calculadora'!$C$7+A68)</f>
        <v/>
      </c>
      <c r="C68" s="20" t="str">
        <f>IF(A68="","",'Calculadora'!$C$8*(1+'Calculadora'!$C$13)^A68)</f>
        <v/>
      </c>
      <c r="D68" s="20" t="str">
        <f>IF(A68="","",('Calculadora'!$C$9+IF(AND(B68&gt;='Calculadora'!$C$21,B68&lt;='Calculadora'!$C$22),'Calculadora'!$C$20,0))*(1+'Calculadora'!$C$12)^A68)</f>
        <v/>
      </c>
      <c r="E68" s="20" t="str">
        <f>IF(A68="","",IF(AND(B68&gt;='Calculadora'!$C$24,B68&lt;='Calculadora'!$C$25),'Calculadora'!$C$23,0)*(1+'Calculadora'!$C$12)^A68)</f>
        <v/>
      </c>
      <c r="F68" s="20" t="str">
        <f>IF(A68="","",F67*(1+'Calculadora'!$C$29)+C67+E67-D67)</f>
        <v/>
      </c>
      <c r="G68" s="20" t="str">
        <f>IF(A68="","",D68-E68+IF(A69="",0,MAX(0,G69/(1+'Calculadora'!$C$29))))</f>
        <v/>
      </c>
      <c r="H68" s="21" t="str">
        <f>IF(A68="","",IF('Calculadora'!$C$16="Con la regla del 4 %",IF(F68*'Calculadora'!$C$17&gt;=D68-E68-1E-9,"Sí","No"),IF(F68&gt;=G68-0.005,"Sí","No")))</f>
        <v/>
      </c>
      <c r="I68" s="20" t="str">
        <f>IF(A68="","",J67)</f>
        <v/>
      </c>
      <c r="J68" s="20" t="str">
        <f>IF(A68="","",IF(A68&lt;IF(ISNUMBER('Calculadora'!$C$30),'Calculadora'!$C$30,'Calculadora'!$C$28),I68*(1+'Calculadora'!$C$29)+C68+E68-D68,MAX(0,I68-D68+E68)*(1+'Calculadora'!$C$29)))</f>
        <v/>
      </c>
      <c r="K68" s="20" t="str">
        <f>IF(A68="","",J68/(1+'Calculadora'!$C$12)^(A68+1))</f>
        <v/>
      </c>
    </row>
    <row r="69">
      <c r="A69" t="str">
        <f>IF(62&lt;'Calculadora'!$C$28,62,"")</f>
        <v/>
      </c>
      <c r="B69" t="str">
        <f>IF(A69="","",'Calculadora'!$C$7+A69)</f>
        <v/>
      </c>
      <c r="C69" s="20" t="str">
        <f>IF(A69="","",'Calculadora'!$C$8*(1+'Calculadora'!$C$13)^A69)</f>
        <v/>
      </c>
      <c r="D69" s="20" t="str">
        <f>IF(A69="","",('Calculadora'!$C$9+IF(AND(B69&gt;='Calculadora'!$C$21,B69&lt;='Calculadora'!$C$22),'Calculadora'!$C$20,0))*(1+'Calculadora'!$C$12)^A69)</f>
        <v/>
      </c>
      <c r="E69" s="20" t="str">
        <f>IF(A69="","",IF(AND(B69&gt;='Calculadora'!$C$24,B69&lt;='Calculadora'!$C$25),'Calculadora'!$C$23,0)*(1+'Calculadora'!$C$12)^A69)</f>
        <v/>
      </c>
      <c r="F69" s="20" t="str">
        <f>IF(A69="","",F68*(1+'Calculadora'!$C$29)+C68+E68-D68)</f>
        <v/>
      </c>
      <c r="G69" s="20" t="str">
        <f>IF(A69="","",D69-E69+IF(A70="",0,MAX(0,G70/(1+'Calculadora'!$C$29))))</f>
        <v/>
      </c>
      <c r="H69" s="21" t="str">
        <f>IF(A69="","",IF('Calculadora'!$C$16="Con la regla del 4 %",IF(F69*'Calculadora'!$C$17&gt;=D69-E69-1E-9,"Sí","No"),IF(F69&gt;=G69-0.005,"Sí","No")))</f>
        <v/>
      </c>
      <c r="I69" s="20" t="str">
        <f>IF(A69="","",J68)</f>
        <v/>
      </c>
      <c r="J69" s="20" t="str">
        <f>IF(A69="","",IF(A69&lt;IF(ISNUMBER('Calculadora'!$C$30),'Calculadora'!$C$30,'Calculadora'!$C$28),I69*(1+'Calculadora'!$C$29)+C69+E69-D69,MAX(0,I69-D69+E69)*(1+'Calculadora'!$C$29)))</f>
        <v/>
      </c>
      <c r="K69" s="20" t="str">
        <f>IF(A69="","",J69/(1+'Calculadora'!$C$12)^(A69+1))</f>
        <v/>
      </c>
    </row>
    <row r="70">
      <c r="A70" t="str">
        <f>IF(63&lt;'Calculadora'!$C$28,63,"")</f>
        <v/>
      </c>
      <c r="B70" t="str">
        <f>IF(A70="","",'Calculadora'!$C$7+A70)</f>
        <v/>
      </c>
      <c r="C70" s="20" t="str">
        <f>IF(A70="","",'Calculadora'!$C$8*(1+'Calculadora'!$C$13)^A70)</f>
        <v/>
      </c>
      <c r="D70" s="20" t="str">
        <f>IF(A70="","",('Calculadora'!$C$9+IF(AND(B70&gt;='Calculadora'!$C$21,B70&lt;='Calculadora'!$C$22),'Calculadora'!$C$20,0))*(1+'Calculadora'!$C$12)^A70)</f>
        <v/>
      </c>
      <c r="E70" s="20" t="str">
        <f>IF(A70="","",IF(AND(B70&gt;='Calculadora'!$C$24,B70&lt;='Calculadora'!$C$25),'Calculadora'!$C$23,0)*(1+'Calculadora'!$C$12)^A70)</f>
        <v/>
      </c>
      <c r="F70" s="20" t="str">
        <f>IF(A70="","",F69*(1+'Calculadora'!$C$29)+C69+E69-D69)</f>
        <v/>
      </c>
      <c r="G70" s="20" t="str">
        <f>IF(A70="","",D70-E70+IF(A71="",0,MAX(0,G71/(1+'Calculadora'!$C$29))))</f>
        <v/>
      </c>
      <c r="H70" s="21" t="str">
        <f>IF(A70="","",IF('Calculadora'!$C$16="Con la regla del 4 %",IF(F70*'Calculadora'!$C$17&gt;=D70-E70-1E-9,"Sí","No"),IF(F70&gt;=G70-0.005,"Sí","No")))</f>
        <v/>
      </c>
      <c r="I70" s="20" t="str">
        <f>IF(A70="","",J69)</f>
        <v/>
      </c>
      <c r="J70" s="20" t="str">
        <f>IF(A70="","",IF(A70&lt;IF(ISNUMBER('Calculadora'!$C$30),'Calculadora'!$C$30,'Calculadora'!$C$28),I70*(1+'Calculadora'!$C$29)+C70+E70-D70,MAX(0,I70-D70+E70)*(1+'Calculadora'!$C$29)))</f>
        <v/>
      </c>
      <c r="K70" s="20" t="str">
        <f>IF(A70="","",J70/(1+'Calculadora'!$C$12)^(A70+1))</f>
        <v/>
      </c>
    </row>
    <row r="71">
      <c r="A71" t="str">
        <f>IF(64&lt;'Calculadora'!$C$28,64,"")</f>
        <v/>
      </c>
      <c r="B71" t="str">
        <f>IF(A71="","",'Calculadora'!$C$7+A71)</f>
        <v/>
      </c>
      <c r="C71" s="20" t="str">
        <f>IF(A71="","",'Calculadora'!$C$8*(1+'Calculadora'!$C$13)^A71)</f>
        <v/>
      </c>
      <c r="D71" s="20" t="str">
        <f>IF(A71="","",('Calculadora'!$C$9+IF(AND(B71&gt;='Calculadora'!$C$21,B71&lt;='Calculadora'!$C$22),'Calculadora'!$C$20,0))*(1+'Calculadora'!$C$12)^A71)</f>
        <v/>
      </c>
      <c r="E71" s="20" t="str">
        <f>IF(A71="","",IF(AND(B71&gt;='Calculadora'!$C$24,B71&lt;='Calculadora'!$C$25),'Calculadora'!$C$23,0)*(1+'Calculadora'!$C$12)^A71)</f>
        <v/>
      </c>
      <c r="F71" s="20" t="str">
        <f>IF(A71="","",F70*(1+'Calculadora'!$C$29)+C70+E70-D70)</f>
        <v/>
      </c>
      <c r="G71" s="20" t="str">
        <f>IF(A71="","",D71-E71+IF(A72="",0,MAX(0,G72/(1+'Calculadora'!$C$29))))</f>
        <v/>
      </c>
      <c r="H71" s="21" t="str">
        <f>IF(A71="","",IF('Calculadora'!$C$16="Con la regla del 4 %",IF(F71*'Calculadora'!$C$17&gt;=D71-E71-1E-9,"Sí","No"),IF(F71&gt;=G71-0.005,"Sí","No")))</f>
        <v/>
      </c>
      <c r="I71" s="20" t="str">
        <f>IF(A71="","",J70)</f>
        <v/>
      </c>
      <c r="J71" s="20" t="str">
        <f>IF(A71="","",IF(A71&lt;IF(ISNUMBER('Calculadora'!$C$30),'Calculadora'!$C$30,'Calculadora'!$C$28),I71*(1+'Calculadora'!$C$29)+C71+E71-D71,MAX(0,I71-D71+E71)*(1+'Calculadora'!$C$29)))</f>
        <v/>
      </c>
      <c r="K71" s="20" t="str">
        <f>IF(A71="","",J71/(1+'Calculadora'!$C$12)^(A71+1))</f>
        <v/>
      </c>
    </row>
    <row r="72">
      <c r="A72" t="str">
        <f>IF(65&lt;'Calculadora'!$C$28,65,"")</f>
        <v/>
      </c>
      <c r="B72" t="str">
        <f>IF(A72="","",'Calculadora'!$C$7+A72)</f>
        <v/>
      </c>
      <c r="C72" s="20" t="str">
        <f>IF(A72="","",'Calculadora'!$C$8*(1+'Calculadora'!$C$13)^A72)</f>
        <v/>
      </c>
      <c r="D72" s="20" t="str">
        <f>IF(A72="","",('Calculadora'!$C$9+IF(AND(B72&gt;='Calculadora'!$C$21,B72&lt;='Calculadora'!$C$22),'Calculadora'!$C$20,0))*(1+'Calculadora'!$C$12)^A72)</f>
        <v/>
      </c>
      <c r="E72" s="20" t="str">
        <f>IF(A72="","",IF(AND(B72&gt;='Calculadora'!$C$24,B72&lt;='Calculadora'!$C$25),'Calculadora'!$C$23,0)*(1+'Calculadora'!$C$12)^A72)</f>
        <v/>
      </c>
      <c r="F72" s="20" t="str">
        <f>IF(A72="","",F71*(1+'Calculadora'!$C$29)+C71+E71-D71)</f>
        <v/>
      </c>
      <c r="G72" s="20" t="str">
        <f>IF(A72="","",D72-E72+IF(A73="",0,MAX(0,G73/(1+'Calculadora'!$C$29))))</f>
        <v/>
      </c>
      <c r="H72" s="21" t="str">
        <f>IF(A72="","",IF('Calculadora'!$C$16="Con la regla del 4 %",IF(F72*'Calculadora'!$C$17&gt;=D72-E72-1E-9,"Sí","No"),IF(F72&gt;=G72-0.005,"Sí","No")))</f>
        <v/>
      </c>
      <c r="I72" s="20" t="str">
        <f>IF(A72="","",J71)</f>
        <v/>
      </c>
      <c r="J72" s="20" t="str">
        <f>IF(A72="","",IF(A72&lt;IF(ISNUMBER('Calculadora'!$C$30),'Calculadora'!$C$30,'Calculadora'!$C$28),I72*(1+'Calculadora'!$C$29)+C72+E72-D72,MAX(0,I72-D72+E72)*(1+'Calculadora'!$C$29)))</f>
        <v/>
      </c>
      <c r="K72" s="20" t="str">
        <f>IF(A72="","",J72/(1+'Calculadora'!$C$12)^(A72+1))</f>
        <v/>
      </c>
    </row>
    <row r="73">
      <c r="A73" t="str">
        <f>IF(66&lt;'Calculadora'!$C$28,66,"")</f>
        <v/>
      </c>
      <c r="B73" t="str">
        <f>IF(A73="","",'Calculadora'!$C$7+A73)</f>
        <v/>
      </c>
      <c r="C73" s="20" t="str">
        <f>IF(A73="","",'Calculadora'!$C$8*(1+'Calculadora'!$C$13)^A73)</f>
        <v/>
      </c>
      <c r="D73" s="20" t="str">
        <f>IF(A73="","",('Calculadora'!$C$9+IF(AND(B73&gt;='Calculadora'!$C$21,B73&lt;='Calculadora'!$C$22),'Calculadora'!$C$20,0))*(1+'Calculadora'!$C$12)^A73)</f>
        <v/>
      </c>
      <c r="E73" s="20" t="str">
        <f>IF(A73="","",IF(AND(B73&gt;='Calculadora'!$C$24,B73&lt;='Calculadora'!$C$25),'Calculadora'!$C$23,0)*(1+'Calculadora'!$C$12)^A73)</f>
        <v/>
      </c>
      <c r="F73" s="20" t="str">
        <f>IF(A73="","",F72*(1+'Calculadora'!$C$29)+C72+E72-D72)</f>
        <v/>
      </c>
      <c r="G73" s="20" t="str">
        <f>IF(A73="","",D73-E73+IF(A74="",0,MAX(0,G74/(1+'Calculadora'!$C$29))))</f>
        <v/>
      </c>
      <c r="H73" s="21" t="str">
        <f>IF(A73="","",IF('Calculadora'!$C$16="Con la regla del 4 %",IF(F73*'Calculadora'!$C$17&gt;=D73-E73-1E-9,"Sí","No"),IF(F73&gt;=G73-0.005,"Sí","No")))</f>
        <v/>
      </c>
      <c r="I73" s="20" t="str">
        <f>IF(A73="","",J72)</f>
        <v/>
      </c>
      <c r="J73" s="20" t="str">
        <f>IF(A73="","",IF(A73&lt;IF(ISNUMBER('Calculadora'!$C$30),'Calculadora'!$C$30,'Calculadora'!$C$28),I73*(1+'Calculadora'!$C$29)+C73+E73-D73,MAX(0,I73-D73+E73)*(1+'Calculadora'!$C$29)))</f>
        <v/>
      </c>
      <c r="K73" s="20" t="str">
        <f>IF(A73="","",J73/(1+'Calculadora'!$C$12)^(A73+1))</f>
        <v/>
      </c>
    </row>
    <row r="74">
      <c r="A74" t="str">
        <f>IF(67&lt;'Calculadora'!$C$28,67,"")</f>
        <v/>
      </c>
      <c r="B74" t="str">
        <f>IF(A74="","",'Calculadora'!$C$7+A74)</f>
        <v/>
      </c>
      <c r="C74" s="20" t="str">
        <f>IF(A74="","",'Calculadora'!$C$8*(1+'Calculadora'!$C$13)^A74)</f>
        <v/>
      </c>
      <c r="D74" s="20" t="str">
        <f>IF(A74="","",('Calculadora'!$C$9+IF(AND(B74&gt;='Calculadora'!$C$21,B74&lt;='Calculadora'!$C$22),'Calculadora'!$C$20,0))*(1+'Calculadora'!$C$12)^A74)</f>
        <v/>
      </c>
      <c r="E74" s="20" t="str">
        <f>IF(A74="","",IF(AND(B74&gt;='Calculadora'!$C$24,B74&lt;='Calculadora'!$C$25),'Calculadora'!$C$23,0)*(1+'Calculadora'!$C$12)^A74)</f>
        <v/>
      </c>
      <c r="F74" s="20" t="str">
        <f>IF(A74="","",F73*(1+'Calculadora'!$C$29)+C73+E73-D73)</f>
        <v/>
      </c>
      <c r="G74" s="20" t="str">
        <f>IF(A74="","",D74-E74+IF(A75="",0,MAX(0,G75/(1+'Calculadora'!$C$29))))</f>
        <v/>
      </c>
      <c r="H74" s="21" t="str">
        <f>IF(A74="","",IF('Calculadora'!$C$16="Con la regla del 4 %",IF(F74*'Calculadora'!$C$17&gt;=D74-E74-1E-9,"Sí","No"),IF(F74&gt;=G74-0.005,"Sí","No")))</f>
        <v/>
      </c>
      <c r="I74" s="20" t="str">
        <f>IF(A74="","",J73)</f>
        <v/>
      </c>
      <c r="J74" s="20" t="str">
        <f>IF(A74="","",IF(A74&lt;IF(ISNUMBER('Calculadora'!$C$30),'Calculadora'!$C$30,'Calculadora'!$C$28),I74*(1+'Calculadora'!$C$29)+C74+E74-D74,MAX(0,I74-D74+E74)*(1+'Calculadora'!$C$29)))</f>
        <v/>
      </c>
      <c r="K74" s="20" t="str">
        <f>IF(A74="","",J74/(1+'Calculadora'!$C$12)^(A74+1))</f>
        <v/>
      </c>
    </row>
    <row r="75">
      <c r="A75" t="str">
        <f>IF(68&lt;'Calculadora'!$C$28,68,"")</f>
        <v/>
      </c>
      <c r="B75" t="str">
        <f>IF(A75="","",'Calculadora'!$C$7+A75)</f>
        <v/>
      </c>
      <c r="C75" s="20" t="str">
        <f>IF(A75="","",'Calculadora'!$C$8*(1+'Calculadora'!$C$13)^A75)</f>
        <v/>
      </c>
      <c r="D75" s="20" t="str">
        <f>IF(A75="","",('Calculadora'!$C$9+IF(AND(B75&gt;='Calculadora'!$C$21,B75&lt;='Calculadora'!$C$22),'Calculadora'!$C$20,0))*(1+'Calculadora'!$C$12)^A75)</f>
        <v/>
      </c>
      <c r="E75" s="20" t="str">
        <f>IF(A75="","",IF(AND(B75&gt;='Calculadora'!$C$24,B75&lt;='Calculadora'!$C$25),'Calculadora'!$C$23,0)*(1+'Calculadora'!$C$12)^A75)</f>
        <v/>
      </c>
      <c r="F75" s="20" t="str">
        <f>IF(A75="","",F74*(1+'Calculadora'!$C$29)+C74+E74-D74)</f>
        <v/>
      </c>
      <c r="G75" s="20" t="str">
        <f>IF(A75="","",D75-E75+IF(A76="",0,MAX(0,G76/(1+'Calculadora'!$C$29))))</f>
        <v/>
      </c>
      <c r="H75" s="21" t="str">
        <f>IF(A75="","",IF('Calculadora'!$C$16="Con la regla del 4 %",IF(F75*'Calculadora'!$C$17&gt;=D75-E75-1E-9,"Sí","No"),IF(F75&gt;=G75-0.005,"Sí","No")))</f>
        <v/>
      </c>
      <c r="I75" s="20" t="str">
        <f>IF(A75="","",J74)</f>
        <v/>
      </c>
      <c r="J75" s="20" t="str">
        <f>IF(A75="","",IF(A75&lt;IF(ISNUMBER('Calculadora'!$C$30),'Calculadora'!$C$30,'Calculadora'!$C$28),I75*(1+'Calculadora'!$C$29)+C75+E75-D75,MAX(0,I75-D75+E75)*(1+'Calculadora'!$C$29)))</f>
        <v/>
      </c>
      <c r="K75" s="20" t="str">
        <f>IF(A75="","",J75/(1+'Calculadora'!$C$12)^(A75+1))</f>
        <v/>
      </c>
    </row>
    <row r="76">
      <c r="A76" t="str">
        <f>IF(69&lt;'Calculadora'!$C$28,69,"")</f>
        <v/>
      </c>
      <c r="B76" t="str">
        <f>IF(A76="","",'Calculadora'!$C$7+A76)</f>
        <v/>
      </c>
      <c r="C76" s="20" t="str">
        <f>IF(A76="","",'Calculadora'!$C$8*(1+'Calculadora'!$C$13)^A76)</f>
        <v/>
      </c>
      <c r="D76" s="20" t="str">
        <f>IF(A76="","",('Calculadora'!$C$9+IF(AND(B76&gt;='Calculadora'!$C$21,B76&lt;='Calculadora'!$C$22),'Calculadora'!$C$20,0))*(1+'Calculadora'!$C$12)^A76)</f>
        <v/>
      </c>
      <c r="E76" s="20" t="str">
        <f>IF(A76="","",IF(AND(B76&gt;='Calculadora'!$C$24,B76&lt;='Calculadora'!$C$25),'Calculadora'!$C$23,0)*(1+'Calculadora'!$C$12)^A76)</f>
        <v/>
      </c>
      <c r="F76" s="20" t="str">
        <f>IF(A76="","",F75*(1+'Calculadora'!$C$29)+C75+E75-D75)</f>
        <v/>
      </c>
      <c r="G76" s="20" t="str">
        <f>IF(A76="","",D76-E76+IF(A77="",0,MAX(0,G77/(1+'Calculadora'!$C$29))))</f>
        <v/>
      </c>
      <c r="H76" s="21" t="str">
        <f>IF(A76="","",IF('Calculadora'!$C$16="Con la regla del 4 %",IF(F76*'Calculadora'!$C$17&gt;=D76-E76-1E-9,"Sí","No"),IF(F76&gt;=G76-0.005,"Sí","No")))</f>
        <v/>
      </c>
      <c r="I76" s="20" t="str">
        <f>IF(A76="","",J75)</f>
        <v/>
      </c>
      <c r="J76" s="20" t="str">
        <f>IF(A76="","",IF(A76&lt;IF(ISNUMBER('Calculadora'!$C$30),'Calculadora'!$C$30,'Calculadora'!$C$28),I76*(1+'Calculadora'!$C$29)+C76+E76-D76,MAX(0,I76-D76+E76)*(1+'Calculadora'!$C$29)))</f>
        <v/>
      </c>
      <c r="K76" s="20" t="str">
        <f>IF(A76="","",J76/(1+'Calculadora'!$C$12)^(A76+1))</f>
        <v/>
      </c>
    </row>
    <row r="77">
      <c r="A77" t="str">
        <f>IF(70&lt;'Calculadora'!$C$28,70,"")</f>
        <v/>
      </c>
      <c r="B77" t="str">
        <f>IF(A77="","",'Calculadora'!$C$7+A77)</f>
        <v/>
      </c>
      <c r="C77" s="20" t="str">
        <f>IF(A77="","",'Calculadora'!$C$8*(1+'Calculadora'!$C$13)^A77)</f>
        <v/>
      </c>
      <c r="D77" s="20" t="str">
        <f>IF(A77="","",('Calculadora'!$C$9+IF(AND(B77&gt;='Calculadora'!$C$21,B77&lt;='Calculadora'!$C$22),'Calculadora'!$C$20,0))*(1+'Calculadora'!$C$12)^A77)</f>
        <v/>
      </c>
      <c r="E77" s="20" t="str">
        <f>IF(A77="","",IF(AND(B77&gt;='Calculadora'!$C$24,B77&lt;='Calculadora'!$C$25),'Calculadora'!$C$23,0)*(1+'Calculadora'!$C$12)^A77)</f>
        <v/>
      </c>
      <c r="F77" s="20" t="str">
        <f>IF(A77="","",F76*(1+'Calculadora'!$C$29)+C76+E76-D76)</f>
        <v/>
      </c>
      <c r="G77" s="20" t="str">
        <f>IF(A77="","",D77-E77+IF(A78="",0,MAX(0,G78/(1+'Calculadora'!$C$29))))</f>
        <v/>
      </c>
      <c r="H77" s="21" t="str">
        <f>IF(A77="","",IF('Calculadora'!$C$16="Con la regla del 4 %",IF(F77*'Calculadora'!$C$17&gt;=D77-E77-1E-9,"Sí","No"),IF(F77&gt;=G77-0.005,"Sí","No")))</f>
        <v/>
      </c>
      <c r="I77" s="20" t="str">
        <f>IF(A77="","",J76)</f>
        <v/>
      </c>
      <c r="J77" s="20" t="str">
        <f>IF(A77="","",IF(A77&lt;IF(ISNUMBER('Calculadora'!$C$30),'Calculadora'!$C$30,'Calculadora'!$C$28),I77*(1+'Calculadora'!$C$29)+C77+E77-D77,MAX(0,I77-D77+E77)*(1+'Calculadora'!$C$29)))</f>
        <v/>
      </c>
      <c r="K77" s="20" t="str">
        <f>IF(A77="","",J77/(1+'Calculadora'!$C$12)^(A77+1))</f>
        <v/>
      </c>
    </row>
    <row r="78">
      <c r="A78" t="str">
        <f>IF(71&lt;'Calculadora'!$C$28,71,"")</f>
        <v/>
      </c>
      <c r="B78" t="str">
        <f>IF(A78="","",'Calculadora'!$C$7+A78)</f>
        <v/>
      </c>
      <c r="C78" s="20" t="str">
        <f>IF(A78="","",'Calculadora'!$C$8*(1+'Calculadora'!$C$13)^A78)</f>
        <v/>
      </c>
      <c r="D78" s="20" t="str">
        <f>IF(A78="","",('Calculadora'!$C$9+IF(AND(B78&gt;='Calculadora'!$C$21,B78&lt;='Calculadora'!$C$22),'Calculadora'!$C$20,0))*(1+'Calculadora'!$C$12)^A78)</f>
        <v/>
      </c>
      <c r="E78" s="20" t="str">
        <f>IF(A78="","",IF(AND(B78&gt;='Calculadora'!$C$24,B78&lt;='Calculadora'!$C$25),'Calculadora'!$C$23,0)*(1+'Calculadora'!$C$12)^A78)</f>
        <v/>
      </c>
      <c r="F78" s="20" t="str">
        <f>IF(A78="","",F77*(1+'Calculadora'!$C$29)+C77+E77-D77)</f>
        <v/>
      </c>
      <c r="G78" s="20" t="str">
        <f>IF(A78="","",D78-E78+IF(A79="",0,MAX(0,G79/(1+'Calculadora'!$C$29))))</f>
        <v/>
      </c>
      <c r="H78" s="21" t="str">
        <f>IF(A78="","",IF('Calculadora'!$C$16="Con la regla del 4 %",IF(F78*'Calculadora'!$C$17&gt;=D78-E78-1E-9,"Sí","No"),IF(F78&gt;=G78-0.005,"Sí","No")))</f>
        <v/>
      </c>
      <c r="I78" s="20" t="str">
        <f>IF(A78="","",J77)</f>
        <v/>
      </c>
      <c r="J78" s="20" t="str">
        <f>IF(A78="","",IF(A78&lt;IF(ISNUMBER('Calculadora'!$C$30),'Calculadora'!$C$30,'Calculadora'!$C$28),I78*(1+'Calculadora'!$C$29)+C78+E78-D78,MAX(0,I78-D78+E78)*(1+'Calculadora'!$C$29)))</f>
        <v/>
      </c>
      <c r="K78" s="20" t="str">
        <f>IF(A78="","",J78/(1+'Calculadora'!$C$12)^(A78+1))</f>
        <v/>
      </c>
    </row>
    <row r="79">
      <c r="A79" t="str">
        <f>IF(72&lt;'Calculadora'!$C$28,72,"")</f>
        <v/>
      </c>
      <c r="B79" t="str">
        <f>IF(A79="","",'Calculadora'!$C$7+A79)</f>
        <v/>
      </c>
      <c r="C79" s="20" t="str">
        <f>IF(A79="","",'Calculadora'!$C$8*(1+'Calculadora'!$C$13)^A79)</f>
        <v/>
      </c>
      <c r="D79" s="20" t="str">
        <f>IF(A79="","",('Calculadora'!$C$9+IF(AND(B79&gt;='Calculadora'!$C$21,B79&lt;='Calculadora'!$C$22),'Calculadora'!$C$20,0))*(1+'Calculadora'!$C$12)^A79)</f>
        <v/>
      </c>
      <c r="E79" s="20" t="str">
        <f>IF(A79="","",IF(AND(B79&gt;='Calculadora'!$C$24,B79&lt;='Calculadora'!$C$25),'Calculadora'!$C$23,0)*(1+'Calculadora'!$C$12)^A79)</f>
        <v/>
      </c>
      <c r="F79" s="20" t="str">
        <f>IF(A79="","",F78*(1+'Calculadora'!$C$29)+C78+E78-D78)</f>
        <v/>
      </c>
      <c r="G79" s="20" t="str">
        <f>IF(A79="","",D79-E79+IF(A80="",0,MAX(0,G80/(1+'Calculadora'!$C$29))))</f>
        <v/>
      </c>
      <c r="H79" s="21" t="str">
        <f>IF(A79="","",IF('Calculadora'!$C$16="Con la regla del 4 %",IF(F79*'Calculadora'!$C$17&gt;=D79-E79-1E-9,"Sí","No"),IF(F79&gt;=G79-0.005,"Sí","No")))</f>
        <v/>
      </c>
      <c r="I79" s="20" t="str">
        <f>IF(A79="","",J78)</f>
        <v/>
      </c>
      <c r="J79" s="20" t="str">
        <f>IF(A79="","",IF(A79&lt;IF(ISNUMBER('Calculadora'!$C$30),'Calculadora'!$C$30,'Calculadora'!$C$28),I79*(1+'Calculadora'!$C$29)+C79+E79-D79,MAX(0,I79-D79+E79)*(1+'Calculadora'!$C$29)))</f>
        <v/>
      </c>
      <c r="K79" s="20" t="str">
        <f>IF(A79="","",J79/(1+'Calculadora'!$C$12)^(A79+1))</f>
        <v/>
      </c>
    </row>
    <row r="80">
      <c r="A80" t="str">
        <f>IF(73&lt;'Calculadora'!$C$28,73,"")</f>
        <v/>
      </c>
      <c r="B80" t="str">
        <f>IF(A80="","",'Calculadora'!$C$7+A80)</f>
        <v/>
      </c>
      <c r="C80" s="20" t="str">
        <f>IF(A80="","",'Calculadora'!$C$8*(1+'Calculadora'!$C$13)^A80)</f>
        <v/>
      </c>
      <c r="D80" s="20" t="str">
        <f>IF(A80="","",('Calculadora'!$C$9+IF(AND(B80&gt;='Calculadora'!$C$21,B80&lt;='Calculadora'!$C$22),'Calculadora'!$C$20,0))*(1+'Calculadora'!$C$12)^A80)</f>
        <v/>
      </c>
      <c r="E80" s="20" t="str">
        <f>IF(A80="","",IF(AND(B80&gt;='Calculadora'!$C$24,B80&lt;='Calculadora'!$C$25),'Calculadora'!$C$23,0)*(1+'Calculadora'!$C$12)^A80)</f>
        <v/>
      </c>
      <c r="F80" s="20" t="str">
        <f>IF(A80="","",F79*(1+'Calculadora'!$C$29)+C79+E79-D79)</f>
        <v/>
      </c>
      <c r="G80" s="20" t="str">
        <f>IF(A80="","",D80-E80+IF(A81="",0,MAX(0,G81/(1+'Calculadora'!$C$29))))</f>
        <v/>
      </c>
      <c r="H80" s="21" t="str">
        <f>IF(A80="","",IF('Calculadora'!$C$16="Con la regla del 4 %",IF(F80*'Calculadora'!$C$17&gt;=D80-E80-1E-9,"Sí","No"),IF(F80&gt;=G80-0.005,"Sí","No")))</f>
        <v/>
      </c>
      <c r="I80" s="20" t="str">
        <f>IF(A80="","",J79)</f>
        <v/>
      </c>
      <c r="J80" s="20" t="str">
        <f>IF(A80="","",IF(A80&lt;IF(ISNUMBER('Calculadora'!$C$30),'Calculadora'!$C$30,'Calculadora'!$C$28),I80*(1+'Calculadora'!$C$29)+C80+E80-D80,MAX(0,I80-D80+E80)*(1+'Calculadora'!$C$29)))</f>
        <v/>
      </c>
      <c r="K80" s="20" t="str">
        <f>IF(A80="","",J80/(1+'Calculadora'!$C$12)^(A80+1))</f>
        <v/>
      </c>
    </row>
    <row r="81">
      <c r="A81" t="str">
        <f>IF(74&lt;'Calculadora'!$C$28,74,"")</f>
        <v/>
      </c>
      <c r="B81" t="str">
        <f>IF(A81="","",'Calculadora'!$C$7+A81)</f>
        <v/>
      </c>
      <c r="C81" s="20" t="str">
        <f>IF(A81="","",'Calculadora'!$C$8*(1+'Calculadora'!$C$13)^A81)</f>
        <v/>
      </c>
      <c r="D81" s="20" t="str">
        <f>IF(A81="","",('Calculadora'!$C$9+IF(AND(B81&gt;='Calculadora'!$C$21,B81&lt;='Calculadora'!$C$22),'Calculadora'!$C$20,0))*(1+'Calculadora'!$C$12)^A81)</f>
        <v/>
      </c>
      <c r="E81" s="20" t="str">
        <f>IF(A81="","",IF(AND(B81&gt;='Calculadora'!$C$24,B81&lt;='Calculadora'!$C$25),'Calculadora'!$C$23,0)*(1+'Calculadora'!$C$12)^A81)</f>
        <v/>
      </c>
      <c r="F81" s="20" t="str">
        <f>IF(A81="","",F80*(1+'Calculadora'!$C$29)+C80+E80-D80)</f>
        <v/>
      </c>
      <c r="G81" s="20" t="str">
        <f>IF(A81="","",D81-E81+IF(A82="",0,MAX(0,G82/(1+'Calculadora'!$C$29))))</f>
        <v/>
      </c>
      <c r="H81" s="21" t="str">
        <f>IF(A81="","",IF('Calculadora'!$C$16="Con la regla del 4 %",IF(F81*'Calculadora'!$C$17&gt;=D81-E81-1E-9,"Sí","No"),IF(F81&gt;=G81-0.005,"Sí","No")))</f>
        <v/>
      </c>
      <c r="I81" s="20" t="str">
        <f>IF(A81="","",J80)</f>
        <v/>
      </c>
      <c r="J81" s="20" t="str">
        <f>IF(A81="","",IF(A81&lt;IF(ISNUMBER('Calculadora'!$C$30),'Calculadora'!$C$30,'Calculadora'!$C$28),I81*(1+'Calculadora'!$C$29)+C81+E81-D81,MAX(0,I81-D81+E81)*(1+'Calculadora'!$C$29)))</f>
        <v/>
      </c>
      <c r="K81" s="20" t="str">
        <f>IF(A81="","",J81/(1+'Calculadora'!$C$12)^(A81+1))</f>
        <v/>
      </c>
    </row>
    <row r="82">
      <c r="A82" t="str">
        <f>IF(75&lt;'Calculadora'!$C$28,75,"")</f>
        <v/>
      </c>
      <c r="B82" t="str">
        <f>IF(A82="","",'Calculadora'!$C$7+A82)</f>
        <v/>
      </c>
      <c r="C82" s="20" t="str">
        <f>IF(A82="","",'Calculadora'!$C$8*(1+'Calculadora'!$C$13)^A82)</f>
        <v/>
      </c>
      <c r="D82" s="20" t="str">
        <f>IF(A82="","",('Calculadora'!$C$9+IF(AND(B82&gt;='Calculadora'!$C$21,B82&lt;='Calculadora'!$C$22),'Calculadora'!$C$20,0))*(1+'Calculadora'!$C$12)^A82)</f>
        <v/>
      </c>
      <c r="E82" s="20" t="str">
        <f>IF(A82="","",IF(AND(B82&gt;='Calculadora'!$C$24,B82&lt;='Calculadora'!$C$25),'Calculadora'!$C$23,0)*(1+'Calculadora'!$C$12)^A82)</f>
        <v/>
      </c>
      <c r="F82" s="20" t="str">
        <f>IF(A82="","",F81*(1+'Calculadora'!$C$29)+C81+E81-D81)</f>
        <v/>
      </c>
      <c r="G82" s="20" t="str">
        <f>IF(A82="","",D82-E82+IF(A83="",0,MAX(0,G83/(1+'Calculadora'!$C$29))))</f>
        <v/>
      </c>
      <c r="H82" s="21" t="str">
        <f>IF(A82="","",IF('Calculadora'!$C$16="Con la regla del 4 %",IF(F82*'Calculadora'!$C$17&gt;=D82-E82-1E-9,"Sí","No"),IF(F82&gt;=G82-0.005,"Sí","No")))</f>
        <v/>
      </c>
      <c r="I82" s="20" t="str">
        <f>IF(A82="","",J81)</f>
        <v/>
      </c>
      <c r="J82" s="20" t="str">
        <f>IF(A82="","",IF(A82&lt;IF(ISNUMBER('Calculadora'!$C$30),'Calculadora'!$C$30,'Calculadora'!$C$28),I82*(1+'Calculadora'!$C$29)+C82+E82-D82,MAX(0,I82-D82+E82)*(1+'Calculadora'!$C$29)))</f>
        <v/>
      </c>
      <c r="K82" s="20" t="str">
        <f>IF(A82="","",J82/(1+'Calculadora'!$C$12)^(A82+1))</f>
        <v/>
      </c>
    </row>
    <row r="83">
      <c r="A83" t="str">
        <f>IF(76&lt;'Calculadora'!$C$28,76,"")</f>
        <v/>
      </c>
      <c r="B83" t="str">
        <f>IF(A83="","",'Calculadora'!$C$7+A83)</f>
        <v/>
      </c>
      <c r="C83" s="20" t="str">
        <f>IF(A83="","",'Calculadora'!$C$8*(1+'Calculadora'!$C$13)^A83)</f>
        <v/>
      </c>
      <c r="D83" s="20" t="str">
        <f>IF(A83="","",('Calculadora'!$C$9+IF(AND(B83&gt;='Calculadora'!$C$21,B83&lt;='Calculadora'!$C$22),'Calculadora'!$C$20,0))*(1+'Calculadora'!$C$12)^A83)</f>
        <v/>
      </c>
      <c r="E83" s="20" t="str">
        <f>IF(A83="","",IF(AND(B83&gt;='Calculadora'!$C$24,B83&lt;='Calculadora'!$C$25),'Calculadora'!$C$23,0)*(1+'Calculadora'!$C$12)^A83)</f>
        <v/>
      </c>
      <c r="F83" s="20" t="str">
        <f>IF(A83="","",F82*(1+'Calculadora'!$C$29)+C82+E82-D82)</f>
        <v/>
      </c>
      <c r="G83" s="20" t="str">
        <f>IF(A83="","",D83-E83+IF(A84="",0,MAX(0,G84/(1+'Calculadora'!$C$29))))</f>
        <v/>
      </c>
      <c r="H83" s="21" t="str">
        <f>IF(A83="","",IF('Calculadora'!$C$16="Con la regla del 4 %",IF(F83*'Calculadora'!$C$17&gt;=D83-E83-1E-9,"Sí","No"),IF(F83&gt;=G83-0.005,"Sí","No")))</f>
        <v/>
      </c>
      <c r="I83" s="20" t="str">
        <f>IF(A83="","",J82)</f>
        <v/>
      </c>
      <c r="J83" s="20" t="str">
        <f>IF(A83="","",IF(A83&lt;IF(ISNUMBER('Calculadora'!$C$30),'Calculadora'!$C$30,'Calculadora'!$C$28),I83*(1+'Calculadora'!$C$29)+C83+E83-D83,MAX(0,I83-D83+E83)*(1+'Calculadora'!$C$29)))</f>
        <v/>
      </c>
      <c r="K83" s="20" t="str">
        <f>IF(A83="","",J83/(1+'Calculadora'!$C$12)^(A83+1))</f>
        <v/>
      </c>
    </row>
    <row r="84">
      <c r="A84" t="str">
        <f>IF(77&lt;'Calculadora'!$C$28,77,"")</f>
        <v/>
      </c>
      <c r="B84" t="str">
        <f>IF(A84="","",'Calculadora'!$C$7+A84)</f>
        <v/>
      </c>
      <c r="C84" s="20" t="str">
        <f>IF(A84="","",'Calculadora'!$C$8*(1+'Calculadora'!$C$13)^A84)</f>
        <v/>
      </c>
      <c r="D84" s="20" t="str">
        <f>IF(A84="","",('Calculadora'!$C$9+IF(AND(B84&gt;='Calculadora'!$C$21,B84&lt;='Calculadora'!$C$22),'Calculadora'!$C$20,0))*(1+'Calculadora'!$C$12)^A84)</f>
        <v/>
      </c>
      <c r="E84" s="20" t="str">
        <f>IF(A84="","",IF(AND(B84&gt;='Calculadora'!$C$24,B84&lt;='Calculadora'!$C$25),'Calculadora'!$C$23,0)*(1+'Calculadora'!$C$12)^A84)</f>
        <v/>
      </c>
      <c r="F84" s="20" t="str">
        <f>IF(A84="","",F83*(1+'Calculadora'!$C$29)+C83+E83-D83)</f>
        <v/>
      </c>
      <c r="G84" s="20" t="str">
        <f>IF(A84="","",D84-E84+IF(A85="",0,MAX(0,G85/(1+'Calculadora'!$C$29))))</f>
        <v/>
      </c>
      <c r="H84" s="21" t="str">
        <f>IF(A84="","",IF('Calculadora'!$C$16="Con la regla del 4 %",IF(F84*'Calculadora'!$C$17&gt;=D84-E84-1E-9,"Sí","No"),IF(F84&gt;=G84-0.005,"Sí","No")))</f>
        <v/>
      </c>
      <c r="I84" s="20" t="str">
        <f>IF(A84="","",J83)</f>
        <v/>
      </c>
      <c r="J84" s="20" t="str">
        <f>IF(A84="","",IF(A84&lt;IF(ISNUMBER('Calculadora'!$C$30),'Calculadora'!$C$30,'Calculadora'!$C$28),I84*(1+'Calculadora'!$C$29)+C84+E84-D84,MAX(0,I84-D84+E84)*(1+'Calculadora'!$C$29)))</f>
        <v/>
      </c>
      <c r="K84" s="20" t="str">
        <f>IF(A84="","",J84/(1+'Calculadora'!$C$12)^(A84+1))</f>
        <v/>
      </c>
    </row>
    <row r="85">
      <c r="A85" t="str">
        <f>IF(78&lt;'Calculadora'!$C$28,78,"")</f>
        <v/>
      </c>
      <c r="B85" t="str">
        <f>IF(A85="","",'Calculadora'!$C$7+A85)</f>
        <v/>
      </c>
      <c r="C85" s="20" t="str">
        <f>IF(A85="","",'Calculadora'!$C$8*(1+'Calculadora'!$C$13)^A85)</f>
        <v/>
      </c>
      <c r="D85" s="20" t="str">
        <f>IF(A85="","",('Calculadora'!$C$9+IF(AND(B85&gt;='Calculadora'!$C$21,B85&lt;='Calculadora'!$C$22),'Calculadora'!$C$20,0))*(1+'Calculadora'!$C$12)^A85)</f>
        <v/>
      </c>
      <c r="E85" s="20" t="str">
        <f>IF(A85="","",IF(AND(B85&gt;='Calculadora'!$C$24,B85&lt;='Calculadora'!$C$25),'Calculadora'!$C$23,0)*(1+'Calculadora'!$C$12)^A85)</f>
        <v/>
      </c>
      <c r="F85" s="20" t="str">
        <f>IF(A85="","",F84*(1+'Calculadora'!$C$29)+C84+E84-D84)</f>
        <v/>
      </c>
      <c r="G85" s="20" t="str">
        <f>IF(A85="","",D85-E85+IF(A86="",0,MAX(0,G86/(1+'Calculadora'!$C$29))))</f>
        <v/>
      </c>
      <c r="H85" s="21" t="str">
        <f>IF(A85="","",IF('Calculadora'!$C$16="Con la regla del 4 %",IF(F85*'Calculadora'!$C$17&gt;=D85-E85-1E-9,"Sí","No"),IF(F85&gt;=G85-0.005,"Sí","No")))</f>
        <v/>
      </c>
      <c r="I85" s="20" t="str">
        <f>IF(A85="","",J84)</f>
        <v/>
      </c>
      <c r="J85" s="20" t="str">
        <f>IF(A85="","",IF(A85&lt;IF(ISNUMBER('Calculadora'!$C$30),'Calculadora'!$C$30,'Calculadora'!$C$28),I85*(1+'Calculadora'!$C$29)+C85+E85-D85,MAX(0,I85-D85+E85)*(1+'Calculadora'!$C$29)))</f>
        <v/>
      </c>
      <c r="K85" s="20" t="str">
        <f>IF(A85="","",J85/(1+'Calculadora'!$C$12)^(A85+1))</f>
        <v/>
      </c>
    </row>
    <row r="86">
      <c r="A86" t="str">
        <f>IF(79&lt;'Calculadora'!$C$28,79,"")</f>
        <v/>
      </c>
      <c r="B86" t="str">
        <f>IF(A86="","",'Calculadora'!$C$7+A86)</f>
        <v/>
      </c>
      <c r="C86" s="20" t="str">
        <f>IF(A86="","",'Calculadora'!$C$8*(1+'Calculadora'!$C$13)^A86)</f>
        <v/>
      </c>
      <c r="D86" s="20" t="str">
        <f>IF(A86="","",('Calculadora'!$C$9+IF(AND(B86&gt;='Calculadora'!$C$21,B86&lt;='Calculadora'!$C$22),'Calculadora'!$C$20,0))*(1+'Calculadora'!$C$12)^A86)</f>
        <v/>
      </c>
      <c r="E86" s="20" t="str">
        <f>IF(A86="","",IF(AND(B86&gt;='Calculadora'!$C$24,B86&lt;='Calculadora'!$C$25),'Calculadora'!$C$23,0)*(1+'Calculadora'!$C$12)^A86)</f>
        <v/>
      </c>
      <c r="F86" s="20" t="str">
        <f>IF(A86="","",F85*(1+'Calculadora'!$C$29)+C85+E85-D85)</f>
        <v/>
      </c>
      <c r="G86" s="20" t="str">
        <f>IF(A86="","",D86-E86+IF(A87="",0,MAX(0,G87/(1+'Calculadora'!$C$29))))</f>
        <v/>
      </c>
      <c r="H86" s="21" t="str">
        <f>IF(A86="","",IF('Calculadora'!$C$16="Con la regla del 4 %",IF(F86*'Calculadora'!$C$17&gt;=D86-E86-1E-9,"Sí","No"),IF(F86&gt;=G86-0.005,"Sí","No")))</f>
        <v/>
      </c>
      <c r="I86" s="20" t="str">
        <f>IF(A86="","",J85)</f>
        <v/>
      </c>
      <c r="J86" s="20" t="str">
        <f>IF(A86="","",IF(A86&lt;IF(ISNUMBER('Calculadora'!$C$30),'Calculadora'!$C$30,'Calculadora'!$C$28),I86*(1+'Calculadora'!$C$29)+C86+E86-D86,MAX(0,I86-D86+E86)*(1+'Calculadora'!$C$29)))</f>
        <v/>
      </c>
      <c r="K86" s="20" t="str">
        <f>IF(A86="","",J86/(1+'Calculadora'!$C$12)^(A86+1))</f>
        <v/>
      </c>
    </row>
    <row r="87">
      <c r="A87" t="str">
        <f>IF(80&lt;'Calculadora'!$C$28,80,"")</f>
        <v/>
      </c>
      <c r="B87" t="str">
        <f>IF(A87="","",'Calculadora'!$C$7+A87)</f>
        <v/>
      </c>
      <c r="C87" s="20" t="str">
        <f>IF(A87="","",'Calculadora'!$C$8*(1+'Calculadora'!$C$13)^A87)</f>
        <v/>
      </c>
      <c r="D87" s="20" t="str">
        <f>IF(A87="","",('Calculadora'!$C$9+IF(AND(B87&gt;='Calculadora'!$C$21,B87&lt;='Calculadora'!$C$22),'Calculadora'!$C$20,0))*(1+'Calculadora'!$C$12)^A87)</f>
        <v/>
      </c>
      <c r="E87" s="20" t="str">
        <f>IF(A87="","",IF(AND(B87&gt;='Calculadora'!$C$24,B87&lt;='Calculadora'!$C$25),'Calculadora'!$C$23,0)*(1+'Calculadora'!$C$12)^A87)</f>
        <v/>
      </c>
      <c r="F87" s="20" t="str">
        <f>IF(A87="","",F86*(1+'Calculadora'!$C$29)+C86+E86-D86)</f>
        <v/>
      </c>
      <c r="G87" s="20" t="str">
        <f>IF(A87="","",D87-E87+IF(A88="",0,MAX(0,G88/(1+'Calculadora'!$C$29))))</f>
        <v/>
      </c>
      <c r="H87" s="21" t="str">
        <f>IF(A87="","",IF('Calculadora'!$C$16="Con la regla del 4 %",IF(F87*'Calculadora'!$C$17&gt;=D87-E87-1E-9,"Sí","No"),IF(F87&gt;=G87-0.005,"Sí","No")))</f>
        <v/>
      </c>
      <c r="I87" s="20" t="str">
        <f>IF(A87="","",J86)</f>
        <v/>
      </c>
      <c r="J87" s="20" t="str">
        <f>IF(A87="","",IF(A87&lt;IF(ISNUMBER('Calculadora'!$C$30),'Calculadora'!$C$30,'Calculadora'!$C$28),I87*(1+'Calculadora'!$C$29)+C87+E87-D87,MAX(0,I87-D87+E87)*(1+'Calculadora'!$C$29)))</f>
        <v/>
      </c>
      <c r="K87" s="20" t="str">
        <f>IF(A87="","",J87/(1+'Calculadora'!$C$12)^(A87+1))</f>
        <v/>
      </c>
    </row>
    <row r="88">
      <c r="A88" t="str">
        <f>IF(81&lt;'Calculadora'!$C$28,81,"")</f>
        <v/>
      </c>
      <c r="B88" t="str">
        <f>IF(A88="","",'Calculadora'!$C$7+A88)</f>
        <v/>
      </c>
      <c r="C88" s="20" t="str">
        <f>IF(A88="","",'Calculadora'!$C$8*(1+'Calculadora'!$C$13)^A88)</f>
        <v/>
      </c>
      <c r="D88" s="20" t="str">
        <f>IF(A88="","",('Calculadora'!$C$9+IF(AND(B88&gt;='Calculadora'!$C$21,B88&lt;='Calculadora'!$C$22),'Calculadora'!$C$20,0))*(1+'Calculadora'!$C$12)^A88)</f>
        <v/>
      </c>
      <c r="E88" s="20" t="str">
        <f>IF(A88="","",IF(AND(B88&gt;='Calculadora'!$C$24,B88&lt;='Calculadora'!$C$25),'Calculadora'!$C$23,0)*(1+'Calculadora'!$C$12)^A88)</f>
        <v/>
      </c>
      <c r="F88" s="20" t="str">
        <f>IF(A88="","",F87*(1+'Calculadora'!$C$29)+C87+E87-D87)</f>
        <v/>
      </c>
      <c r="G88" s="20" t="str">
        <f>IF(A88="","",D88-E88+IF(A89="",0,MAX(0,G89/(1+'Calculadora'!$C$29))))</f>
        <v/>
      </c>
      <c r="H88" s="21" t="str">
        <f>IF(A88="","",IF('Calculadora'!$C$16="Con la regla del 4 %",IF(F88*'Calculadora'!$C$17&gt;=D88-E88-1E-9,"Sí","No"),IF(F88&gt;=G88-0.005,"Sí","No")))</f>
        <v/>
      </c>
      <c r="I88" s="20" t="str">
        <f>IF(A88="","",J87)</f>
        <v/>
      </c>
      <c r="J88" s="20" t="str">
        <f>IF(A88="","",IF(A88&lt;IF(ISNUMBER('Calculadora'!$C$30),'Calculadora'!$C$30,'Calculadora'!$C$28),I88*(1+'Calculadora'!$C$29)+C88+E88-D88,MAX(0,I88-D88+E88)*(1+'Calculadora'!$C$29)))</f>
        <v/>
      </c>
      <c r="K88" s="20" t="str">
        <f>IF(A88="","",J88/(1+'Calculadora'!$C$12)^(A88+1))</f>
        <v/>
      </c>
    </row>
    <row r="89">
      <c r="A89" t="str">
        <f>IF(82&lt;'Calculadora'!$C$28,82,"")</f>
        <v/>
      </c>
      <c r="B89" t="str">
        <f>IF(A89="","",'Calculadora'!$C$7+A89)</f>
        <v/>
      </c>
      <c r="C89" s="20" t="str">
        <f>IF(A89="","",'Calculadora'!$C$8*(1+'Calculadora'!$C$13)^A89)</f>
        <v/>
      </c>
      <c r="D89" s="20" t="str">
        <f>IF(A89="","",('Calculadora'!$C$9+IF(AND(B89&gt;='Calculadora'!$C$21,B89&lt;='Calculadora'!$C$22),'Calculadora'!$C$20,0))*(1+'Calculadora'!$C$12)^A89)</f>
        <v/>
      </c>
      <c r="E89" s="20" t="str">
        <f>IF(A89="","",IF(AND(B89&gt;='Calculadora'!$C$24,B89&lt;='Calculadora'!$C$25),'Calculadora'!$C$23,0)*(1+'Calculadora'!$C$12)^A89)</f>
        <v/>
      </c>
      <c r="F89" s="20" t="str">
        <f>IF(A89="","",F88*(1+'Calculadora'!$C$29)+C88+E88-D88)</f>
        <v/>
      </c>
      <c r="G89" s="20" t="str">
        <f>IF(A89="","",D89-E89+IF(A90="",0,MAX(0,G90/(1+'Calculadora'!$C$29))))</f>
        <v/>
      </c>
      <c r="H89" s="21" t="str">
        <f>IF(A89="","",IF('Calculadora'!$C$16="Con la regla del 4 %",IF(F89*'Calculadora'!$C$17&gt;=D89-E89-1E-9,"Sí","No"),IF(F89&gt;=G89-0.005,"Sí","No")))</f>
        <v/>
      </c>
      <c r="I89" s="20" t="str">
        <f>IF(A89="","",J88)</f>
        <v/>
      </c>
      <c r="J89" s="20" t="str">
        <f>IF(A89="","",IF(A89&lt;IF(ISNUMBER('Calculadora'!$C$30),'Calculadora'!$C$30,'Calculadora'!$C$28),I89*(1+'Calculadora'!$C$29)+C89+E89-D89,MAX(0,I89-D89+E89)*(1+'Calculadora'!$C$29)))</f>
        <v/>
      </c>
      <c r="K89" s="20" t="str">
        <f>IF(A89="","",J89/(1+'Calculadora'!$C$12)^(A89+1))</f>
        <v/>
      </c>
    </row>
    <row r="90">
      <c r="A90" t="str">
        <f>IF(83&lt;'Calculadora'!$C$28,83,"")</f>
        <v/>
      </c>
      <c r="B90" t="str">
        <f>IF(A90="","",'Calculadora'!$C$7+A90)</f>
        <v/>
      </c>
      <c r="C90" s="20" t="str">
        <f>IF(A90="","",'Calculadora'!$C$8*(1+'Calculadora'!$C$13)^A90)</f>
        <v/>
      </c>
      <c r="D90" s="20" t="str">
        <f>IF(A90="","",('Calculadora'!$C$9+IF(AND(B90&gt;='Calculadora'!$C$21,B90&lt;='Calculadora'!$C$22),'Calculadora'!$C$20,0))*(1+'Calculadora'!$C$12)^A90)</f>
        <v/>
      </c>
      <c r="E90" s="20" t="str">
        <f>IF(A90="","",IF(AND(B90&gt;='Calculadora'!$C$24,B90&lt;='Calculadora'!$C$25),'Calculadora'!$C$23,0)*(1+'Calculadora'!$C$12)^A90)</f>
        <v/>
      </c>
      <c r="F90" s="20" t="str">
        <f>IF(A90="","",F89*(1+'Calculadora'!$C$29)+C89+E89-D89)</f>
        <v/>
      </c>
      <c r="G90" s="20" t="str">
        <f>IF(A90="","",D90-E90+IF(A91="",0,MAX(0,G91/(1+'Calculadora'!$C$29))))</f>
        <v/>
      </c>
      <c r="H90" s="21" t="str">
        <f>IF(A90="","",IF('Calculadora'!$C$16="Con la regla del 4 %",IF(F90*'Calculadora'!$C$17&gt;=D90-E90-1E-9,"Sí","No"),IF(F90&gt;=G90-0.005,"Sí","No")))</f>
        <v/>
      </c>
      <c r="I90" s="20" t="str">
        <f>IF(A90="","",J89)</f>
        <v/>
      </c>
      <c r="J90" s="20" t="str">
        <f>IF(A90="","",IF(A90&lt;IF(ISNUMBER('Calculadora'!$C$30),'Calculadora'!$C$30,'Calculadora'!$C$28),I90*(1+'Calculadora'!$C$29)+C90+E90-D90,MAX(0,I90-D90+E90)*(1+'Calculadora'!$C$29)))</f>
        <v/>
      </c>
      <c r="K90" s="20" t="str">
        <f>IF(A90="","",J90/(1+'Calculadora'!$C$12)^(A90+1))</f>
        <v/>
      </c>
    </row>
    <row r="91">
      <c r="A91" t="str">
        <f>IF(84&lt;'Calculadora'!$C$28,84,"")</f>
        <v/>
      </c>
      <c r="B91" t="str">
        <f>IF(A91="","",'Calculadora'!$C$7+A91)</f>
        <v/>
      </c>
      <c r="C91" s="20" t="str">
        <f>IF(A91="","",'Calculadora'!$C$8*(1+'Calculadora'!$C$13)^A91)</f>
        <v/>
      </c>
      <c r="D91" s="20" t="str">
        <f>IF(A91="","",('Calculadora'!$C$9+IF(AND(B91&gt;='Calculadora'!$C$21,B91&lt;='Calculadora'!$C$22),'Calculadora'!$C$20,0))*(1+'Calculadora'!$C$12)^A91)</f>
        <v/>
      </c>
      <c r="E91" s="20" t="str">
        <f>IF(A91="","",IF(AND(B91&gt;='Calculadora'!$C$24,B91&lt;='Calculadora'!$C$25),'Calculadora'!$C$23,0)*(1+'Calculadora'!$C$12)^A91)</f>
        <v/>
      </c>
      <c r="F91" s="20" t="str">
        <f>IF(A91="","",F90*(1+'Calculadora'!$C$29)+C90+E90-D90)</f>
        <v/>
      </c>
      <c r="G91" s="20" t="str">
        <f>IF(A91="","",D91-E91+IF(A92="",0,MAX(0,G92/(1+'Calculadora'!$C$29))))</f>
        <v/>
      </c>
      <c r="H91" s="21" t="str">
        <f>IF(A91="","",IF('Calculadora'!$C$16="Con la regla del 4 %",IF(F91*'Calculadora'!$C$17&gt;=D91-E91-1E-9,"Sí","No"),IF(F91&gt;=G91-0.005,"Sí","No")))</f>
        <v/>
      </c>
      <c r="I91" s="20" t="str">
        <f>IF(A91="","",J90)</f>
        <v/>
      </c>
      <c r="J91" s="20" t="str">
        <f>IF(A91="","",IF(A91&lt;IF(ISNUMBER('Calculadora'!$C$30),'Calculadora'!$C$30,'Calculadora'!$C$28),I91*(1+'Calculadora'!$C$29)+C91+E91-D91,MAX(0,I91-D91+E91)*(1+'Calculadora'!$C$29)))</f>
        <v/>
      </c>
      <c r="K91" s="20" t="str">
        <f>IF(A91="","",J91/(1+'Calculadora'!$C$12)^(A91+1))</f>
        <v/>
      </c>
    </row>
    <row r="92">
      <c r="A92" t="str">
        <f>IF(85&lt;'Calculadora'!$C$28,85,"")</f>
        <v/>
      </c>
      <c r="B92" t="str">
        <f>IF(A92="","",'Calculadora'!$C$7+A92)</f>
        <v/>
      </c>
      <c r="C92" s="20" t="str">
        <f>IF(A92="","",'Calculadora'!$C$8*(1+'Calculadora'!$C$13)^A92)</f>
        <v/>
      </c>
      <c r="D92" s="20" t="str">
        <f>IF(A92="","",('Calculadora'!$C$9+IF(AND(B92&gt;='Calculadora'!$C$21,B92&lt;='Calculadora'!$C$22),'Calculadora'!$C$20,0))*(1+'Calculadora'!$C$12)^A92)</f>
        <v/>
      </c>
      <c r="E92" s="20" t="str">
        <f>IF(A92="","",IF(AND(B92&gt;='Calculadora'!$C$24,B92&lt;='Calculadora'!$C$25),'Calculadora'!$C$23,0)*(1+'Calculadora'!$C$12)^A92)</f>
        <v/>
      </c>
      <c r="F92" s="20" t="str">
        <f>IF(A92="","",F91*(1+'Calculadora'!$C$29)+C91+E91-D91)</f>
        <v/>
      </c>
      <c r="G92" s="20" t="str">
        <f>IF(A92="","",D92-E92+IF(A93="",0,MAX(0,G93/(1+'Calculadora'!$C$29))))</f>
        <v/>
      </c>
      <c r="H92" s="21" t="str">
        <f>IF(A92="","",IF('Calculadora'!$C$16="Con la regla del 4 %",IF(F92*'Calculadora'!$C$17&gt;=D92-E92-1E-9,"Sí","No"),IF(F92&gt;=G92-0.005,"Sí","No")))</f>
        <v/>
      </c>
      <c r="I92" s="20" t="str">
        <f>IF(A92="","",J91)</f>
        <v/>
      </c>
      <c r="J92" s="20" t="str">
        <f>IF(A92="","",IF(A92&lt;IF(ISNUMBER('Calculadora'!$C$30),'Calculadora'!$C$30,'Calculadora'!$C$28),I92*(1+'Calculadora'!$C$29)+C92+E92-D92,MAX(0,I92-D92+E92)*(1+'Calculadora'!$C$29)))</f>
        <v/>
      </c>
      <c r="K92" s="20" t="str">
        <f>IF(A92="","",J92/(1+'Calculadora'!$C$12)^(A92+1))</f>
        <v/>
      </c>
    </row>
    <row r="93">
      <c r="A93" t="str">
        <f>IF(86&lt;'Calculadora'!$C$28,86,"")</f>
        <v/>
      </c>
      <c r="B93" t="str">
        <f>IF(A93="","",'Calculadora'!$C$7+A93)</f>
        <v/>
      </c>
      <c r="C93" s="20" t="str">
        <f>IF(A93="","",'Calculadora'!$C$8*(1+'Calculadora'!$C$13)^A93)</f>
        <v/>
      </c>
      <c r="D93" s="20" t="str">
        <f>IF(A93="","",('Calculadora'!$C$9+IF(AND(B93&gt;='Calculadora'!$C$21,B93&lt;='Calculadora'!$C$22),'Calculadora'!$C$20,0))*(1+'Calculadora'!$C$12)^A93)</f>
        <v/>
      </c>
      <c r="E93" s="20" t="str">
        <f>IF(A93="","",IF(AND(B93&gt;='Calculadora'!$C$24,B93&lt;='Calculadora'!$C$25),'Calculadora'!$C$23,0)*(1+'Calculadora'!$C$12)^A93)</f>
        <v/>
      </c>
      <c r="F93" s="20" t="str">
        <f>IF(A93="","",F92*(1+'Calculadora'!$C$29)+C92+E92-D92)</f>
        <v/>
      </c>
      <c r="G93" s="20" t="str">
        <f>IF(A93="","",D93-E93+IF(A94="",0,MAX(0,G94/(1+'Calculadora'!$C$29))))</f>
        <v/>
      </c>
      <c r="H93" s="21" t="str">
        <f>IF(A93="","",IF('Calculadora'!$C$16="Con la regla del 4 %",IF(F93*'Calculadora'!$C$17&gt;=D93-E93-1E-9,"Sí","No"),IF(F93&gt;=G93-0.005,"Sí","No")))</f>
        <v/>
      </c>
      <c r="I93" s="20" t="str">
        <f>IF(A93="","",J92)</f>
        <v/>
      </c>
      <c r="J93" s="20" t="str">
        <f>IF(A93="","",IF(A93&lt;IF(ISNUMBER('Calculadora'!$C$30),'Calculadora'!$C$30,'Calculadora'!$C$28),I93*(1+'Calculadora'!$C$29)+C93+E93-D93,MAX(0,I93-D93+E93)*(1+'Calculadora'!$C$29)))</f>
        <v/>
      </c>
      <c r="K93" s="20" t="str">
        <f>IF(A93="","",J93/(1+'Calculadora'!$C$12)^(A93+1))</f>
        <v/>
      </c>
    </row>
    <row r="94">
      <c r="A94" t="str">
        <f>IF(87&lt;'Calculadora'!$C$28,87,"")</f>
        <v/>
      </c>
      <c r="B94" t="str">
        <f>IF(A94="","",'Calculadora'!$C$7+A94)</f>
        <v/>
      </c>
      <c r="C94" s="20" t="str">
        <f>IF(A94="","",'Calculadora'!$C$8*(1+'Calculadora'!$C$13)^A94)</f>
        <v/>
      </c>
      <c r="D94" s="20" t="str">
        <f>IF(A94="","",('Calculadora'!$C$9+IF(AND(B94&gt;='Calculadora'!$C$21,B94&lt;='Calculadora'!$C$22),'Calculadora'!$C$20,0))*(1+'Calculadora'!$C$12)^A94)</f>
        <v/>
      </c>
      <c r="E94" s="20" t="str">
        <f>IF(A94="","",IF(AND(B94&gt;='Calculadora'!$C$24,B94&lt;='Calculadora'!$C$25),'Calculadora'!$C$23,0)*(1+'Calculadora'!$C$12)^A94)</f>
        <v/>
      </c>
      <c r="F94" s="20" t="str">
        <f>IF(A94="","",F93*(1+'Calculadora'!$C$29)+C93+E93-D93)</f>
        <v/>
      </c>
      <c r="G94" s="20" t="str">
        <f>IF(A94="","",D94-E94+IF(A95="",0,MAX(0,G95/(1+'Calculadora'!$C$29))))</f>
        <v/>
      </c>
      <c r="H94" s="21" t="str">
        <f>IF(A94="","",IF('Calculadora'!$C$16="Con la regla del 4 %",IF(F94*'Calculadora'!$C$17&gt;=D94-E94-1E-9,"Sí","No"),IF(F94&gt;=G94-0.005,"Sí","No")))</f>
        <v/>
      </c>
      <c r="I94" s="20" t="str">
        <f>IF(A94="","",J93)</f>
        <v/>
      </c>
      <c r="J94" s="20" t="str">
        <f>IF(A94="","",IF(A94&lt;IF(ISNUMBER('Calculadora'!$C$30),'Calculadora'!$C$30,'Calculadora'!$C$28),I94*(1+'Calculadora'!$C$29)+C94+E94-D94,MAX(0,I94-D94+E94)*(1+'Calculadora'!$C$29)))</f>
        <v/>
      </c>
      <c r="K94" s="20" t="str">
        <f>IF(A94="","",J94/(1+'Calculadora'!$C$12)^(A94+1))</f>
        <v/>
      </c>
    </row>
    <row r="95">
      <c r="A95" t="str">
        <f>IF(88&lt;'Calculadora'!$C$28,88,"")</f>
        <v/>
      </c>
      <c r="B95" t="str">
        <f>IF(A95="","",'Calculadora'!$C$7+A95)</f>
        <v/>
      </c>
      <c r="C95" s="20" t="str">
        <f>IF(A95="","",'Calculadora'!$C$8*(1+'Calculadora'!$C$13)^A95)</f>
        <v/>
      </c>
      <c r="D95" s="20" t="str">
        <f>IF(A95="","",('Calculadora'!$C$9+IF(AND(B95&gt;='Calculadora'!$C$21,B95&lt;='Calculadora'!$C$22),'Calculadora'!$C$20,0))*(1+'Calculadora'!$C$12)^A95)</f>
        <v/>
      </c>
      <c r="E95" s="20" t="str">
        <f>IF(A95="","",IF(AND(B95&gt;='Calculadora'!$C$24,B95&lt;='Calculadora'!$C$25),'Calculadora'!$C$23,0)*(1+'Calculadora'!$C$12)^A95)</f>
        <v/>
      </c>
      <c r="F95" s="20" t="str">
        <f>IF(A95="","",F94*(1+'Calculadora'!$C$29)+C94+E94-D94)</f>
        <v/>
      </c>
      <c r="G95" s="20" t="str">
        <f>IF(A95="","",D95-E95+IF(A96="",0,MAX(0,G96/(1+'Calculadora'!$C$29))))</f>
        <v/>
      </c>
      <c r="H95" s="21" t="str">
        <f>IF(A95="","",IF('Calculadora'!$C$16="Con la regla del 4 %",IF(F95*'Calculadora'!$C$17&gt;=D95-E95-1E-9,"Sí","No"),IF(F95&gt;=G95-0.005,"Sí","No")))</f>
        <v/>
      </c>
      <c r="I95" s="20" t="str">
        <f>IF(A95="","",J94)</f>
        <v/>
      </c>
      <c r="J95" s="20" t="str">
        <f>IF(A95="","",IF(A95&lt;IF(ISNUMBER('Calculadora'!$C$30),'Calculadora'!$C$30,'Calculadora'!$C$28),I95*(1+'Calculadora'!$C$29)+C95+E95-D95,MAX(0,I95-D95+E95)*(1+'Calculadora'!$C$29)))</f>
        <v/>
      </c>
      <c r="K95" s="20" t="str">
        <f>IF(A95="","",J95/(1+'Calculadora'!$C$12)^(A95+1))</f>
        <v/>
      </c>
    </row>
    <row r="96">
      <c r="A96" t="str">
        <f>IF(89&lt;'Calculadora'!$C$28,89,"")</f>
        <v/>
      </c>
      <c r="B96" t="str">
        <f>IF(A96="","",'Calculadora'!$C$7+A96)</f>
        <v/>
      </c>
      <c r="C96" s="20" t="str">
        <f>IF(A96="","",'Calculadora'!$C$8*(1+'Calculadora'!$C$13)^A96)</f>
        <v/>
      </c>
      <c r="D96" s="20" t="str">
        <f>IF(A96="","",('Calculadora'!$C$9+IF(AND(B96&gt;='Calculadora'!$C$21,B96&lt;='Calculadora'!$C$22),'Calculadora'!$C$20,0))*(1+'Calculadora'!$C$12)^A96)</f>
        <v/>
      </c>
      <c r="E96" s="20" t="str">
        <f>IF(A96="","",IF(AND(B96&gt;='Calculadora'!$C$24,B96&lt;='Calculadora'!$C$25),'Calculadora'!$C$23,0)*(1+'Calculadora'!$C$12)^A96)</f>
        <v/>
      </c>
      <c r="F96" s="20" t="str">
        <f>IF(A96="","",F95*(1+'Calculadora'!$C$29)+C95+E95-D95)</f>
        <v/>
      </c>
      <c r="G96" s="20" t="str">
        <f>IF(A96="","",D96-E96+IF(A97="",0,MAX(0,G97/(1+'Calculadora'!$C$29))))</f>
        <v/>
      </c>
      <c r="H96" s="21" t="str">
        <f>IF(A96="","",IF('Calculadora'!$C$16="Con la regla del 4 %",IF(F96*'Calculadora'!$C$17&gt;=D96-E96-1E-9,"Sí","No"),IF(F96&gt;=G96-0.005,"Sí","No")))</f>
        <v/>
      </c>
      <c r="I96" s="20" t="str">
        <f>IF(A96="","",J95)</f>
        <v/>
      </c>
      <c r="J96" s="20" t="str">
        <f>IF(A96="","",IF(A96&lt;IF(ISNUMBER('Calculadora'!$C$30),'Calculadora'!$C$30,'Calculadora'!$C$28),I96*(1+'Calculadora'!$C$29)+C96+E96-D96,MAX(0,I96-D96+E96)*(1+'Calculadora'!$C$29)))</f>
        <v/>
      </c>
      <c r="K96" s="20" t="str">
        <f>IF(A96="","",J96/(1+'Calculadora'!$C$12)^(A96+1))</f>
        <v/>
      </c>
    </row>
    <row r="97">
      <c r="A97" t="str">
        <f>IF(90&lt;'Calculadora'!$C$28,90,"")</f>
        <v/>
      </c>
      <c r="B97" t="str">
        <f>IF(A97="","",'Calculadora'!$C$7+A97)</f>
        <v/>
      </c>
      <c r="C97" s="20" t="str">
        <f>IF(A97="","",'Calculadora'!$C$8*(1+'Calculadora'!$C$13)^A97)</f>
        <v/>
      </c>
      <c r="D97" s="20" t="str">
        <f>IF(A97="","",('Calculadora'!$C$9+IF(AND(B97&gt;='Calculadora'!$C$21,B97&lt;='Calculadora'!$C$22),'Calculadora'!$C$20,0))*(1+'Calculadora'!$C$12)^A97)</f>
        <v/>
      </c>
      <c r="E97" s="20" t="str">
        <f>IF(A97="","",IF(AND(B97&gt;='Calculadora'!$C$24,B97&lt;='Calculadora'!$C$25),'Calculadora'!$C$23,0)*(1+'Calculadora'!$C$12)^A97)</f>
        <v/>
      </c>
      <c r="F97" s="20" t="str">
        <f>IF(A97="","",F96*(1+'Calculadora'!$C$29)+C96+E96-D96)</f>
        <v/>
      </c>
      <c r="G97" s="20" t="str">
        <f>IF(A97="","",D97-E97+IF(A98="",0,MAX(0,G98/(1+'Calculadora'!$C$29))))</f>
        <v/>
      </c>
      <c r="H97" s="21" t="str">
        <f>IF(A97="","",IF('Calculadora'!$C$16="Con la regla del 4 %",IF(F97*'Calculadora'!$C$17&gt;=D97-E97-1E-9,"Sí","No"),IF(F97&gt;=G97-0.005,"Sí","No")))</f>
        <v/>
      </c>
      <c r="I97" s="20" t="str">
        <f>IF(A97="","",J96)</f>
        <v/>
      </c>
      <c r="J97" s="20" t="str">
        <f>IF(A97="","",IF(A97&lt;IF(ISNUMBER('Calculadora'!$C$30),'Calculadora'!$C$30,'Calculadora'!$C$28),I97*(1+'Calculadora'!$C$29)+C97+E97-D97,MAX(0,I97-D97+E97)*(1+'Calculadora'!$C$29)))</f>
        <v/>
      </c>
      <c r="K97" s="20" t="str">
        <f>IF(A97="","",J97/(1+'Calculadora'!$C$12)^(A97+1))</f>
        <v/>
      </c>
    </row>
    <row r="98">
      <c r="A98" t="str">
        <f>IF(91&lt;'Calculadora'!$C$28,91,"")</f>
        <v/>
      </c>
      <c r="B98" t="str">
        <f>IF(A98="","",'Calculadora'!$C$7+A98)</f>
        <v/>
      </c>
      <c r="C98" s="20" t="str">
        <f>IF(A98="","",'Calculadora'!$C$8*(1+'Calculadora'!$C$13)^A98)</f>
        <v/>
      </c>
      <c r="D98" s="20" t="str">
        <f>IF(A98="","",('Calculadora'!$C$9+IF(AND(B98&gt;='Calculadora'!$C$21,B98&lt;='Calculadora'!$C$22),'Calculadora'!$C$20,0))*(1+'Calculadora'!$C$12)^A98)</f>
        <v/>
      </c>
      <c r="E98" s="20" t="str">
        <f>IF(A98="","",IF(AND(B98&gt;='Calculadora'!$C$24,B98&lt;='Calculadora'!$C$25),'Calculadora'!$C$23,0)*(1+'Calculadora'!$C$12)^A98)</f>
        <v/>
      </c>
      <c r="F98" s="20" t="str">
        <f>IF(A98="","",F97*(1+'Calculadora'!$C$29)+C97+E97-D97)</f>
        <v/>
      </c>
      <c r="G98" s="20" t="str">
        <f>IF(A98="","",D98-E98+IF(A99="",0,MAX(0,G99/(1+'Calculadora'!$C$29))))</f>
        <v/>
      </c>
      <c r="H98" s="21" t="str">
        <f>IF(A98="","",IF('Calculadora'!$C$16="Con la regla del 4 %",IF(F98*'Calculadora'!$C$17&gt;=D98-E98-1E-9,"Sí","No"),IF(F98&gt;=G98-0.005,"Sí","No")))</f>
        <v/>
      </c>
      <c r="I98" s="20" t="str">
        <f>IF(A98="","",J97)</f>
        <v/>
      </c>
      <c r="J98" s="20" t="str">
        <f>IF(A98="","",IF(A98&lt;IF(ISNUMBER('Calculadora'!$C$30),'Calculadora'!$C$30,'Calculadora'!$C$28),I98*(1+'Calculadora'!$C$29)+C98+E98-D98,MAX(0,I98-D98+E98)*(1+'Calculadora'!$C$29)))</f>
        <v/>
      </c>
      <c r="K98" s="20" t="str">
        <f>IF(A98="","",J98/(1+'Calculadora'!$C$12)^(A98+1))</f>
        <v/>
      </c>
    </row>
    <row r="99">
      <c r="A99" t="str">
        <f>IF(92&lt;'Calculadora'!$C$28,92,"")</f>
        <v/>
      </c>
      <c r="B99" t="str">
        <f>IF(A99="","",'Calculadora'!$C$7+A99)</f>
        <v/>
      </c>
      <c r="C99" s="20" t="str">
        <f>IF(A99="","",'Calculadora'!$C$8*(1+'Calculadora'!$C$13)^A99)</f>
        <v/>
      </c>
      <c r="D99" s="20" t="str">
        <f>IF(A99="","",('Calculadora'!$C$9+IF(AND(B99&gt;='Calculadora'!$C$21,B99&lt;='Calculadora'!$C$22),'Calculadora'!$C$20,0))*(1+'Calculadora'!$C$12)^A99)</f>
        <v/>
      </c>
      <c r="E99" s="20" t="str">
        <f>IF(A99="","",IF(AND(B99&gt;='Calculadora'!$C$24,B99&lt;='Calculadora'!$C$25),'Calculadora'!$C$23,0)*(1+'Calculadora'!$C$12)^A99)</f>
        <v/>
      </c>
      <c r="F99" s="20" t="str">
        <f>IF(A99="","",F98*(1+'Calculadora'!$C$29)+C98+E98-D98)</f>
        <v/>
      </c>
      <c r="G99" s="20" t="str">
        <f>IF(A99="","",D99-E99+IF(A100="",0,MAX(0,G100/(1+'Calculadora'!$C$29))))</f>
        <v/>
      </c>
      <c r="H99" s="21" t="str">
        <f>IF(A99="","",IF('Calculadora'!$C$16="Con la regla del 4 %",IF(F99*'Calculadora'!$C$17&gt;=D99-E99-1E-9,"Sí","No"),IF(F99&gt;=G99-0.005,"Sí","No")))</f>
        <v/>
      </c>
      <c r="I99" s="20" t="str">
        <f>IF(A99="","",J98)</f>
        <v/>
      </c>
      <c r="J99" s="20" t="str">
        <f>IF(A99="","",IF(A99&lt;IF(ISNUMBER('Calculadora'!$C$30),'Calculadora'!$C$30,'Calculadora'!$C$28),I99*(1+'Calculadora'!$C$29)+C99+E99-D99,MAX(0,I99-D99+E99)*(1+'Calculadora'!$C$29)))</f>
        <v/>
      </c>
      <c r="K99" s="20" t="str">
        <f>IF(A99="","",J99/(1+'Calculadora'!$C$12)^(A99+1))</f>
        <v/>
      </c>
    </row>
    <row r="100">
      <c r="A100" t="str">
        <f>IF(93&lt;'Calculadora'!$C$28,93,"")</f>
        <v/>
      </c>
      <c r="B100" t="str">
        <f>IF(A100="","",'Calculadora'!$C$7+A100)</f>
        <v/>
      </c>
      <c r="C100" s="20" t="str">
        <f>IF(A100="","",'Calculadora'!$C$8*(1+'Calculadora'!$C$13)^A100)</f>
        <v/>
      </c>
      <c r="D100" s="20" t="str">
        <f>IF(A100="","",('Calculadora'!$C$9+IF(AND(B100&gt;='Calculadora'!$C$21,B100&lt;='Calculadora'!$C$22),'Calculadora'!$C$20,0))*(1+'Calculadora'!$C$12)^A100)</f>
        <v/>
      </c>
      <c r="E100" s="20" t="str">
        <f>IF(A100="","",IF(AND(B100&gt;='Calculadora'!$C$24,B100&lt;='Calculadora'!$C$25),'Calculadora'!$C$23,0)*(1+'Calculadora'!$C$12)^A100)</f>
        <v/>
      </c>
      <c r="F100" s="20" t="str">
        <f>IF(A100="","",F99*(1+'Calculadora'!$C$29)+C99+E99-D99)</f>
        <v/>
      </c>
      <c r="G100" s="20" t="str">
        <f>IF(A100="","",D100-E100+IF(A101="",0,MAX(0,G101/(1+'Calculadora'!$C$29))))</f>
        <v/>
      </c>
      <c r="H100" s="21" t="str">
        <f>IF(A100="","",IF('Calculadora'!$C$16="Con la regla del 4 %",IF(F100*'Calculadora'!$C$17&gt;=D100-E100-1E-9,"Sí","No"),IF(F100&gt;=G100-0.005,"Sí","No")))</f>
        <v/>
      </c>
      <c r="I100" s="20" t="str">
        <f>IF(A100="","",J99)</f>
        <v/>
      </c>
      <c r="J100" s="20" t="str">
        <f>IF(A100="","",IF(A100&lt;IF(ISNUMBER('Calculadora'!$C$30),'Calculadora'!$C$30,'Calculadora'!$C$28),I100*(1+'Calculadora'!$C$29)+C100+E100-D100,MAX(0,I100-D100+E100)*(1+'Calculadora'!$C$29)))</f>
        <v/>
      </c>
      <c r="K100" s="20" t="str">
        <f>IF(A100="","",J100/(1+'Calculadora'!$C$12)^(A100+1))</f>
        <v/>
      </c>
    </row>
    <row r="101">
      <c r="A101" t="str">
        <f>IF(94&lt;'Calculadora'!$C$28,94,"")</f>
        <v/>
      </c>
      <c r="B101" t="str">
        <f>IF(A101="","",'Calculadora'!$C$7+A101)</f>
        <v/>
      </c>
      <c r="C101" s="20" t="str">
        <f>IF(A101="","",'Calculadora'!$C$8*(1+'Calculadora'!$C$13)^A101)</f>
        <v/>
      </c>
      <c r="D101" s="20" t="str">
        <f>IF(A101="","",('Calculadora'!$C$9+IF(AND(B101&gt;='Calculadora'!$C$21,B101&lt;='Calculadora'!$C$22),'Calculadora'!$C$20,0))*(1+'Calculadora'!$C$12)^A101)</f>
        <v/>
      </c>
      <c r="E101" s="20" t="str">
        <f>IF(A101="","",IF(AND(B101&gt;='Calculadora'!$C$24,B101&lt;='Calculadora'!$C$25),'Calculadora'!$C$23,0)*(1+'Calculadora'!$C$12)^A101)</f>
        <v/>
      </c>
      <c r="F101" s="20" t="str">
        <f>IF(A101="","",F100*(1+'Calculadora'!$C$29)+C100+E100-D100)</f>
        <v/>
      </c>
      <c r="G101" s="20" t="str">
        <f>IF(A101="","",D101-E101+IF(A102="",0,MAX(0,G102/(1+'Calculadora'!$C$29))))</f>
        <v/>
      </c>
      <c r="H101" s="21" t="str">
        <f>IF(A101="","",IF('Calculadora'!$C$16="Con la regla del 4 %",IF(F101*'Calculadora'!$C$17&gt;=D101-E101-1E-9,"Sí","No"),IF(F101&gt;=G101-0.005,"Sí","No")))</f>
        <v/>
      </c>
      <c r="I101" s="20" t="str">
        <f>IF(A101="","",J100)</f>
        <v/>
      </c>
      <c r="J101" s="20" t="str">
        <f>IF(A101="","",IF(A101&lt;IF(ISNUMBER('Calculadora'!$C$30),'Calculadora'!$C$30,'Calculadora'!$C$28),I101*(1+'Calculadora'!$C$29)+C101+E101-D101,MAX(0,I101-D101+E101)*(1+'Calculadora'!$C$29)))</f>
        <v/>
      </c>
      <c r="K101" s="20" t="str">
        <f>IF(A101="","",J101/(1+'Calculadora'!$C$12)^(A101+1))</f>
        <v/>
      </c>
    </row>
    <row r="102">
      <c r="A102" t="str">
        <f>IF(95&lt;'Calculadora'!$C$28,95,"")</f>
        <v/>
      </c>
      <c r="B102" t="str">
        <f>IF(A102="","",'Calculadora'!$C$7+A102)</f>
        <v/>
      </c>
      <c r="C102" s="20" t="str">
        <f>IF(A102="","",'Calculadora'!$C$8*(1+'Calculadora'!$C$13)^A102)</f>
        <v/>
      </c>
      <c r="D102" s="20" t="str">
        <f>IF(A102="","",('Calculadora'!$C$9+IF(AND(B102&gt;='Calculadora'!$C$21,B102&lt;='Calculadora'!$C$22),'Calculadora'!$C$20,0))*(1+'Calculadora'!$C$12)^A102)</f>
        <v/>
      </c>
      <c r="E102" s="20" t="str">
        <f>IF(A102="","",IF(AND(B102&gt;='Calculadora'!$C$24,B102&lt;='Calculadora'!$C$25),'Calculadora'!$C$23,0)*(1+'Calculadora'!$C$12)^A102)</f>
        <v/>
      </c>
      <c r="F102" s="20" t="str">
        <f>IF(A102="","",F101*(1+'Calculadora'!$C$29)+C101+E101-D101)</f>
        <v/>
      </c>
      <c r="G102" s="20" t="str">
        <f>IF(A102="","",D102-E102+IF(A103="",0,MAX(0,G103/(1+'Calculadora'!$C$29))))</f>
        <v/>
      </c>
      <c r="H102" s="21" t="str">
        <f>IF(A102="","",IF('Calculadora'!$C$16="Con la regla del 4 %",IF(F102*'Calculadora'!$C$17&gt;=D102-E102-1E-9,"Sí","No"),IF(F102&gt;=G102-0.005,"Sí","No")))</f>
        <v/>
      </c>
      <c r="I102" s="20" t="str">
        <f>IF(A102="","",J101)</f>
        <v/>
      </c>
      <c r="J102" s="20" t="str">
        <f>IF(A102="","",IF(A102&lt;IF(ISNUMBER('Calculadora'!$C$30),'Calculadora'!$C$30,'Calculadora'!$C$28),I102*(1+'Calculadora'!$C$29)+C102+E102-D102,MAX(0,I102-D102+E102)*(1+'Calculadora'!$C$29)))</f>
        <v/>
      </c>
      <c r="K102" s="20" t="str">
        <f>IF(A102="","",J102/(1+'Calculadora'!$C$12)^(A102+1))</f>
        <v/>
      </c>
    </row>
    <row r="103">
      <c r="A103" t="str">
        <f>IF(96&lt;'Calculadora'!$C$28,96,"")</f>
        <v/>
      </c>
      <c r="B103" t="str">
        <f>IF(A103="","",'Calculadora'!$C$7+A103)</f>
        <v/>
      </c>
      <c r="C103" s="20" t="str">
        <f>IF(A103="","",'Calculadora'!$C$8*(1+'Calculadora'!$C$13)^A103)</f>
        <v/>
      </c>
      <c r="D103" s="20" t="str">
        <f>IF(A103="","",('Calculadora'!$C$9+IF(AND(B103&gt;='Calculadora'!$C$21,B103&lt;='Calculadora'!$C$22),'Calculadora'!$C$20,0))*(1+'Calculadora'!$C$12)^A103)</f>
        <v/>
      </c>
      <c r="E103" s="20" t="str">
        <f>IF(A103="","",IF(AND(B103&gt;='Calculadora'!$C$24,B103&lt;='Calculadora'!$C$25),'Calculadora'!$C$23,0)*(1+'Calculadora'!$C$12)^A103)</f>
        <v/>
      </c>
      <c r="F103" s="20" t="str">
        <f>IF(A103="","",F102*(1+'Calculadora'!$C$29)+C102+E102-D102)</f>
        <v/>
      </c>
      <c r="G103" s="20" t="str">
        <f>IF(A103="","",D103-E103+IF(A104="",0,MAX(0,G104/(1+'Calculadora'!$C$29))))</f>
        <v/>
      </c>
      <c r="H103" s="21" t="str">
        <f>IF(A103="","",IF('Calculadora'!$C$16="Con la regla del 4 %",IF(F103*'Calculadora'!$C$17&gt;=D103-E103-1E-9,"Sí","No"),IF(F103&gt;=G103-0.005,"Sí","No")))</f>
        <v/>
      </c>
      <c r="I103" s="20" t="str">
        <f>IF(A103="","",J102)</f>
        <v/>
      </c>
      <c r="J103" s="20" t="str">
        <f>IF(A103="","",IF(A103&lt;IF(ISNUMBER('Calculadora'!$C$30),'Calculadora'!$C$30,'Calculadora'!$C$28),I103*(1+'Calculadora'!$C$29)+C103+E103-D103,MAX(0,I103-D103+E103)*(1+'Calculadora'!$C$29)))</f>
        <v/>
      </c>
      <c r="K103" s="20" t="str">
        <f>IF(A103="","",J103/(1+'Calculadora'!$C$12)^(A103+1))</f>
        <v/>
      </c>
    </row>
    <row r="104">
      <c r="A104" t="str">
        <f>IF(97&lt;'Calculadora'!$C$28,97,"")</f>
        <v/>
      </c>
      <c r="B104" t="str">
        <f>IF(A104="","",'Calculadora'!$C$7+A104)</f>
        <v/>
      </c>
      <c r="C104" s="20" t="str">
        <f>IF(A104="","",'Calculadora'!$C$8*(1+'Calculadora'!$C$13)^A104)</f>
        <v/>
      </c>
      <c r="D104" s="20" t="str">
        <f>IF(A104="","",('Calculadora'!$C$9+IF(AND(B104&gt;='Calculadora'!$C$21,B104&lt;='Calculadora'!$C$22),'Calculadora'!$C$20,0))*(1+'Calculadora'!$C$12)^A104)</f>
        <v/>
      </c>
      <c r="E104" s="20" t="str">
        <f>IF(A104="","",IF(AND(B104&gt;='Calculadora'!$C$24,B104&lt;='Calculadora'!$C$25),'Calculadora'!$C$23,0)*(1+'Calculadora'!$C$12)^A104)</f>
        <v/>
      </c>
      <c r="F104" s="20" t="str">
        <f>IF(A104="","",F103*(1+'Calculadora'!$C$29)+C103+E103-D103)</f>
        <v/>
      </c>
      <c r="G104" s="20" t="str">
        <f>IF(A104="","",D104-E104+IF(A105="",0,MAX(0,G105/(1+'Calculadora'!$C$29))))</f>
        <v/>
      </c>
      <c r="H104" s="21" t="str">
        <f>IF(A104="","",IF('Calculadora'!$C$16="Con la regla del 4 %",IF(F104*'Calculadora'!$C$17&gt;=D104-E104-1E-9,"Sí","No"),IF(F104&gt;=G104-0.005,"Sí","No")))</f>
        <v/>
      </c>
      <c r="I104" s="20" t="str">
        <f>IF(A104="","",J103)</f>
        <v/>
      </c>
      <c r="J104" s="20" t="str">
        <f>IF(A104="","",IF(A104&lt;IF(ISNUMBER('Calculadora'!$C$30),'Calculadora'!$C$30,'Calculadora'!$C$28),I104*(1+'Calculadora'!$C$29)+C104+E104-D104,MAX(0,I104-D104+E104)*(1+'Calculadora'!$C$29)))</f>
        <v/>
      </c>
      <c r="K104" s="20" t="str">
        <f>IF(A104="","",J104/(1+'Calculadora'!$C$12)^(A104+1))</f>
        <v/>
      </c>
    </row>
    <row r="105">
      <c r="A105" t="str">
        <f>IF(98&lt;'Calculadora'!$C$28,98,"")</f>
        <v/>
      </c>
      <c r="B105" t="str">
        <f>IF(A105="","",'Calculadora'!$C$7+A105)</f>
        <v/>
      </c>
      <c r="C105" s="20" t="str">
        <f>IF(A105="","",'Calculadora'!$C$8*(1+'Calculadora'!$C$13)^A105)</f>
        <v/>
      </c>
      <c r="D105" s="20" t="str">
        <f>IF(A105="","",('Calculadora'!$C$9+IF(AND(B105&gt;='Calculadora'!$C$21,B105&lt;='Calculadora'!$C$22),'Calculadora'!$C$20,0))*(1+'Calculadora'!$C$12)^A105)</f>
        <v/>
      </c>
      <c r="E105" s="20" t="str">
        <f>IF(A105="","",IF(AND(B105&gt;='Calculadora'!$C$24,B105&lt;='Calculadora'!$C$25),'Calculadora'!$C$23,0)*(1+'Calculadora'!$C$12)^A105)</f>
        <v/>
      </c>
      <c r="F105" s="20" t="str">
        <f>IF(A105="","",F104*(1+'Calculadora'!$C$29)+C104+E104-D104)</f>
        <v/>
      </c>
      <c r="G105" s="20" t="str">
        <f>IF(A105="","",D105-E105+IF(A106="",0,MAX(0,G106/(1+'Calculadora'!$C$29))))</f>
        <v/>
      </c>
      <c r="H105" s="21" t="str">
        <f>IF(A105="","",IF('Calculadora'!$C$16="Con la regla del 4 %",IF(F105*'Calculadora'!$C$17&gt;=D105-E105-1E-9,"Sí","No"),IF(F105&gt;=G105-0.005,"Sí","No")))</f>
        <v/>
      </c>
      <c r="I105" s="20" t="str">
        <f>IF(A105="","",J104)</f>
        <v/>
      </c>
      <c r="J105" s="20" t="str">
        <f>IF(A105="","",IF(A105&lt;IF(ISNUMBER('Calculadora'!$C$30),'Calculadora'!$C$30,'Calculadora'!$C$28),I105*(1+'Calculadora'!$C$29)+C105+E105-D105,MAX(0,I105-D105+E105)*(1+'Calculadora'!$C$29)))</f>
        <v/>
      </c>
      <c r="K105" s="20" t="str">
        <f>IF(A105="","",J105/(1+'Calculadora'!$C$12)^(A105+1))</f>
        <v/>
      </c>
    </row>
    <row r="106">
      <c r="A106" t="str">
        <f>IF(99&lt;'Calculadora'!$C$28,99,"")</f>
        <v/>
      </c>
      <c r="B106" t="str">
        <f>IF(A106="","",'Calculadora'!$C$7+A106)</f>
        <v/>
      </c>
      <c r="C106" s="20" t="str">
        <f>IF(A106="","",'Calculadora'!$C$8*(1+'Calculadora'!$C$13)^A106)</f>
        <v/>
      </c>
      <c r="D106" s="20" t="str">
        <f>IF(A106="","",('Calculadora'!$C$9+IF(AND(B106&gt;='Calculadora'!$C$21,B106&lt;='Calculadora'!$C$22),'Calculadora'!$C$20,0))*(1+'Calculadora'!$C$12)^A106)</f>
        <v/>
      </c>
      <c r="E106" s="20" t="str">
        <f>IF(A106="","",IF(AND(B106&gt;='Calculadora'!$C$24,B106&lt;='Calculadora'!$C$25),'Calculadora'!$C$23,0)*(1+'Calculadora'!$C$12)^A106)</f>
        <v/>
      </c>
      <c r="F106" s="20" t="str">
        <f>IF(A106="","",F105*(1+'Calculadora'!$C$29)+C105+E105-D105)</f>
        <v/>
      </c>
      <c r="G106" s="20" t="str">
        <f>IF(A106="","",D106-E106+IF(A107="",0,MAX(0,G107/(1+'Calculadora'!$C$29))))</f>
        <v/>
      </c>
      <c r="H106" s="21" t="str">
        <f>IF(A106="","",IF('Calculadora'!$C$16="Con la regla del 4 %",IF(F106*'Calculadora'!$C$17&gt;=D106-E106-1E-9,"Sí","No"),IF(F106&gt;=G106-0.005,"Sí","No")))</f>
        <v/>
      </c>
      <c r="I106" s="20" t="str">
        <f>IF(A106="","",J105)</f>
        <v/>
      </c>
      <c r="J106" s="20" t="str">
        <f>IF(A106="","",IF(A106&lt;IF(ISNUMBER('Calculadora'!$C$30),'Calculadora'!$C$30,'Calculadora'!$C$28),I106*(1+'Calculadora'!$C$29)+C106+E106-D106,MAX(0,I106-D106+E106)*(1+'Calculadora'!$C$29)))</f>
        <v/>
      </c>
      <c r="K106" s="20" t="str">
        <f>IF(A106="","",J106/(1+'Calculadora'!$C$12)^(A106+1))</f>
        <v/>
      </c>
    </row>
    <row r="107">
      <c r="A107" t="str">
        <f>IF(100&lt;'Calculadora'!$C$28,100,"")</f>
        <v/>
      </c>
      <c r="B107" t="str">
        <f>IF(A107="","",'Calculadora'!$C$7+A107)</f>
        <v/>
      </c>
      <c r="C107" s="20" t="str">
        <f>IF(A107="","",'Calculadora'!$C$8*(1+'Calculadora'!$C$13)^A107)</f>
        <v/>
      </c>
      <c r="D107" s="20" t="str">
        <f>IF(A107="","",('Calculadora'!$C$9+IF(AND(B107&gt;='Calculadora'!$C$21,B107&lt;='Calculadora'!$C$22),'Calculadora'!$C$20,0))*(1+'Calculadora'!$C$12)^A107)</f>
        <v/>
      </c>
      <c r="E107" s="20" t="str">
        <f>IF(A107="","",IF(AND(B107&gt;='Calculadora'!$C$24,B107&lt;='Calculadora'!$C$25),'Calculadora'!$C$23,0)*(1+'Calculadora'!$C$12)^A107)</f>
        <v/>
      </c>
      <c r="F107" s="20" t="str">
        <f>IF(A107="","",F106*(1+'Calculadora'!$C$29)+C106+E106-D106)</f>
        <v/>
      </c>
      <c r="G107" s="20" t="str">
        <f>IF(A107="","",D107-E107+IF(A108="",0,MAX(0,G108/(1+'Calculadora'!$C$29))))</f>
        <v/>
      </c>
      <c r="H107" s="21" t="str">
        <f>IF(A107="","",IF('Calculadora'!$C$16="Con la regla del 4 %",IF(F107*'Calculadora'!$C$17&gt;=D107-E107-1E-9,"Sí","No"),IF(F107&gt;=G107-0.005,"Sí","No")))</f>
        <v/>
      </c>
      <c r="I107" s="20" t="str">
        <f>IF(A107="","",J106)</f>
        <v/>
      </c>
      <c r="J107" s="20" t="str">
        <f>IF(A107="","",IF(A107&lt;IF(ISNUMBER('Calculadora'!$C$30),'Calculadora'!$C$30,'Calculadora'!$C$28),I107*(1+'Calculadora'!$C$29)+C107+E107-D107,MAX(0,I107-D107+E107)*(1+'Calculadora'!$C$29)))</f>
        <v/>
      </c>
      <c r="K107" s="20" t="str">
        <f>IF(A107="","",J107/(1+'Calculadora'!$C$12)^(A107+1))</f>
        <v/>
      </c>
    </row>
    <row r="108">
      <c r="A108" t="str">
        <f>IF(101&lt;'Calculadora'!$C$28,101,"")</f>
        <v/>
      </c>
      <c r="B108" t="str">
        <f>IF(A108="","",'Calculadora'!$C$7+A108)</f>
        <v/>
      </c>
      <c r="C108" s="20" t="str">
        <f>IF(A108="","",'Calculadora'!$C$8*(1+'Calculadora'!$C$13)^A108)</f>
        <v/>
      </c>
      <c r="D108" s="20" t="str">
        <f>IF(A108="","",('Calculadora'!$C$9+IF(AND(B108&gt;='Calculadora'!$C$21,B108&lt;='Calculadora'!$C$22),'Calculadora'!$C$20,0))*(1+'Calculadora'!$C$12)^A108)</f>
        <v/>
      </c>
      <c r="E108" s="20" t="str">
        <f>IF(A108="","",IF(AND(B108&gt;='Calculadora'!$C$24,B108&lt;='Calculadora'!$C$25),'Calculadora'!$C$23,0)*(1+'Calculadora'!$C$12)^A108)</f>
        <v/>
      </c>
      <c r="F108" s="20" t="str">
        <f>IF(A108="","",F107*(1+'Calculadora'!$C$29)+C107+E107-D107)</f>
        <v/>
      </c>
      <c r="G108" s="20" t="str">
        <f>IF(A108="","",D108-E108+IF(A109="",0,MAX(0,G109/(1+'Calculadora'!$C$29))))</f>
        <v/>
      </c>
      <c r="H108" s="21" t="str">
        <f>IF(A108="","",IF('Calculadora'!$C$16="Con la regla del 4 %",IF(F108*'Calculadora'!$C$17&gt;=D108-E108-1E-9,"Sí","No"),IF(F108&gt;=G108-0.005,"Sí","No")))</f>
        <v/>
      </c>
      <c r="I108" s="20" t="str">
        <f>IF(A108="","",J107)</f>
        <v/>
      </c>
      <c r="J108" s="20" t="str">
        <f>IF(A108="","",IF(A108&lt;IF(ISNUMBER('Calculadora'!$C$30),'Calculadora'!$C$30,'Calculadora'!$C$28),I108*(1+'Calculadora'!$C$29)+C108+E108-D108,MAX(0,I108-D108+E108)*(1+'Calculadora'!$C$29)))</f>
        <v/>
      </c>
      <c r="K108" s="20" t="str">
        <f>IF(A108="","",J108/(1+'Calculadora'!$C$12)^(A108+1))</f>
        <v/>
      </c>
    </row>
    <row r="109">
      <c r="A109" t="str">
        <f>IF(102&lt;'Calculadora'!$C$28,102,"")</f>
        <v/>
      </c>
      <c r="B109" t="str">
        <f>IF(A109="","",'Calculadora'!$C$7+A109)</f>
        <v/>
      </c>
      <c r="C109" s="20" t="str">
        <f>IF(A109="","",'Calculadora'!$C$8*(1+'Calculadora'!$C$13)^A109)</f>
        <v/>
      </c>
      <c r="D109" s="20" t="str">
        <f>IF(A109="","",('Calculadora'!$C$9+IF(AND(B109&gt;='Calculadora'!$C$21,B109&lt;='Calculadora'!$C$22),'Calculadora'!$C$20,0))*(1+'Calculadora'!$C$12)^A109)</f>
        <v/>
      </c>
      <c r="E109" s="20" t="str">
        <f>IF(A109="","",IF(AND(B109&gt;='Calculadora'!$C$24,B109&lt;='Calculadora'!$C$25),'Calculadora'!$C$23,0)*(1+'Calculadora'!$C$12)^A109)</f>
        <v/>
      </c>
      <c r="F109" s="20" t="str">
        <f>IF(A109="","",F108*(1+'Calculadora'!$C$29)+C108+E108-D108)</f>
        <v/>
      </c>
      <c r="G109" s="20" t="str">
        <f>IF(A109="","",D109-E109+IF(A110="",0,MAX(0,G110/(1+'Calculadora'!$C$29))))</f>
        <v/>
      </c>
      <c r="H109" s="21" t="str">
        <f>IF(A109="","",IF('Calculadora'!$C$16="Con la regla del 4 %",IF(F109*'Calculadora'!$C$17&gt;=D109-E109-1E-9,"Sí","No"),IF(F109&gt;=G109-0.005,"Sí","No")))</f>
        <v/>
      </c>
      <c r="I109" s="20" t="str">
        <f>IF(A109="","",J108)</f>
        <v/>
      </c>
      <c r="J109" s="20" t="str">
        <f>IF(A109="","",IF(A109&lt;IF(ISNUMBER('Calculadora'!$C$30),'Calculadora'!$C$30,'Calculadora'!$C$28),I109*(1+'Calculadora'!$C$29)+C109+E109-D109,MAX(0,I109-D109+E109)*(1+'Calculadora'!$C$29)))</f>
        <v/>
      </c>
      <c r="K109" s="20" t="str">
        <f>IF(A109="","",J109/(1+'Calculadora'!$C$12)^(A109+1))</f>
        <v/>
      </c>
    </row>
    <row r="110">
      <c r="A110" t="str">
        <f>IF(103&lt;'Calculadora'!$C$28,103,"")</f>
        <v/>
      </c>
      <c r="B110" t="str">
        <f>IF(A110="","",'Calculadora'!$C$7+A110)</f>
        <v/>
      </c>
      <c r="C110" s="20" t="str">
        <f>IF(A110="","",'Calculadora'!$C$8*(1+'Calculadora'!$C$13)^A110)</f>
        <v/>
      </c>
      <c r="D110" s="20" t="str">
        <f>IF(A110="","",('Calculadora'!$C$9+IF(AND(B110&gt;='Calculadora'!$C$21,B110&lt;='Calculadora'!$C$22),'Calculadora'!$C$20,0))*(1+'Calculadora'!$C$12)^A110)</f>
        <v/>
      </c>
      <c r="E110" s="20" t="str">
        <f>IF(A110="","",IF(AND(B110&gt;='Calculadora'!$C$24,B110&lt;='Calculadora'!$C$25),'Calculadora'!$C$23,0)*(1+'Calculadora'!$C$12)^A110)</f>
        <v/>
      </c>
      <c r="F110" s="20" t="str">
        <f>IF(A110="","",F109*(1+'Calculadora'!$C$29)+C109+E109-D109)</f>
        <v/>
      </c>
      <c r="G110" s="20" t="str">
        <f>IF(A110="","",D110-E110+IF(A111="",0,MAX(0,G111/(1+'Calculadora'!$C$29))))</f>
        <v/>
      </c>
      <c r="H110" s="21" t="str">
        <f>IF(A110="","",IF('Calculadora'!$C$16="Con la regla del 4 %",IF(F110*'Calculadora'!$C$17&gt;=D110-E110-1E-9,"Sí","No"),IF(F110&gt;=G110-0.005,"Sí","No")))</f>
        <v/>
      </c>
      <c r="I110" s="20" t="str">
        <f>IF(A110="","",J109)</f>
        <v/>
      </c>
      <c r="J110" s="20" t="str">
        <f>IF(A110="","",IF(A110&lt;IF(ISNUMBER('Calculadora'!$C$30),'Calculadora'!$C$30,'Calculadora'!$C$28),I110*(1+'Calculadora'!$C$29)+C110+E110-D110,MAX(0,I110-D110+E110)*(1+'Calculadora'!$C$29)))</f>
        <v/>
      </c>
      <c r="K110" s="20" t="str">
        <f>IF(A110="","",J110/(1+'Calculadora'!$C$12)^(A110+1))</f>
        <v/>
      </c>
    </row>
    <row r="111">
      <c r="A111" t="str">
        <f>IF(104&lt;'Calculadora'!$C$28,104,"")</f>
        <v/>
      </c>
      <c r="B111" t="str">
        <f>IF(A111="","",'Calculadora'!$C$7+A111)</f>
        <v/>
      </c>
      <c r="C111" s="20" t="str">
        <f>IF(A111="","",'Calculadora'!$C$8*(1+'Calculadora'!$C$13)^A111)</f>
        <v/>
      </c>
      <c r="D111" s="20" t="str">
        <f>IF(A111="","",('Calculadora'!$C$9+IF(AND(B111&gt;='Calculadora'!$C$21,B111&lt;='Calculadora'!$C$22),'Calculadora'!$C$20,0))*(1+'Calculadora'!$C$12)^A111)</f>
        <v/>
      </c>
      <c r="E111" s="20" t="str">
        <f>IF(A111="","",IF(AND(B111&gt;='Calculadora'!$C$24,B111&lt;='Calculadora'!$C$25),'Calculadora'!$C$23,0)*(1+'Calculadora'!$C$12)^A111)</f>
        <v/>
      </c>
      <c r="F111" s="20" t="str">
        <f>IF(A111="","",F110*(1+'Calculadora'!$C$29)+C110+E110-D110)</f>
        <v/>
      </c>
      <c r="G111" s="20" t="str">
        <f>IF(A111="","",D111-E111+0)</f>
        <v/>
      </c>
      <c r="H111" s="21" t="str">
        <f>IF(A111="","",IF('Calculadora'!$C$16="Con la regla del 4 %",IF(F111*'Calculadora'!$C$17&gt;=D111-E111-1E-9,"Sí","No"),IF(F111&gt;=G111-0.005,"Sí","No")))</f>
        <v/>
      </c>
      <c r="I111" s="20" t="str">
        <f>IF(A111="","",J110)</f>
        <v/>
      </c>
      <c r="J111" s="20" t="str">
        <f>IF(A111="","",IF(A111&lt;IF(ISNUMBER('Calculadora'!$C$30),'Calculadora'!$C$30,'Calculadora'!$C$28),I111*(1+'Calculadora'!$C$29)+C111+E111-D111,MAX(0,I111-D111+E111)*(1+'Calculadora'!$C$29)))</f>
        <v/>
      </c>
      <c r="K111" s="20" t="str">
        <f>IF(A111="","",J111/(1+'Calculadora'!$C$12)^(A111+1))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22" t="inlineStr">
        <is>
          <t>Cómo se usa la plantilla de independencia financiera</t>
        </is>
      </c>
    </row>
    <row r="4" ht="15" customHeight="1">
      <c r="B4" s="23" t="inlineStr">
        <is>
          <t>1. Escribe tu edad, lo que ingresas y gastas al año, lo que ya tienes y la rentabilidad que esperas.</t>
        </is>
      </c>
    </row>
    <row r="5" ht="30" customHeight="1">
      <c r="B5" s="23" t="inlineStr">
        <is>
          <t>2. Por defecto, eres independiente cuando tu dinero te dura hasta la edad que elijas (95 años), retirando cada año tus gastos subidos con la inflación.</t>
        </is>
      </c>
    </row>
    <row r="6" ht="30" customHeight="1">
      <c r="B6" s="23" t="inlineStr">
        <is>
          <t>3. También puedes usar la regla del 4 %: eres independiente cuando el 4 % de lo que tienes cubre los gastos de un año.</t>
        </is>
      </c>
    </row>
    <row r="7" ht="30" customHeight="1">
      <c r="B7" s="23" t="inlineStr">
        <is>
          <t>4. Si tendrás un gasto o un ingreso solo unos años (estudios de tus hijos, pensión pública), añádelo con precios de hoy.</t>
        </is>
      </c>
    </row>
    <row r="8" ht="15" customHeight="1">
      <c r="B8" s="23" t="inlineStr">
        <is>
          <t>5. En «Año a año» ves, edad por edad, cuánto tendrías y cuánto necesitas.</t>
        </is>
      </c>
    </row>
    <row r="10" ht="15" customHeight="1">
      <c r="B10" s="24" t="inlineStr">
        <is>
          <t>La rentabilidad no está garantizada. Prueba con 1 o 2 puntos menos para ver un escenario prudente.</t>
        </is>
      </c>
    </row>
    <row r="11" ht="30" customHeight="1">
      <c r="B11" s="24" t="inlineStr">
        <is>
          <t>Las celdas naranjas son las que puedes cambiar. Las demás llevan fórmulas: si las borras, la plantilla deja de calcular.</t>
        </is>
      </c>
    </row>
    <row r="12" ht="30" customHeight="1">
      <c r="B12" s="24" t="inlineStr">
        <is>
          <t>Funciona en Excel, en Google Sheets (súbela a Drive y ábrela con Hojas de cálculo) y en LibreOffice. No tiene macros.</t>
        </is>
      </c>
    </row>
    <row r="13" ht="15" customHeight="1">
      <c r="B13" s="24" t="inlineStr">
        <is>
          <t>Las cifras no llevan símbolo de moneda: sirve para euros, pesos, dólares o cualquier otra.</t>
        </is>
      </c>
    </row>
    <row r="14" ht="30" customHeight="1">
      <c r="B14" s="24" t="inlineStr">
        <is>
          <t>Es una estimación orientativa con las fórmulas habituales. Para una decisión importante, compara con la oferta o el contrato reales.</t>
        </is>
      </c>
    </row>
    <row r="16">
      <c r="B16" s="9" t="inlineStr">
        <is>
          <t>Calculadora online con estos mismos cálculos: skilio.com/calculadoras/independencia-financiera/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independencia financiera</dc:title>
  <dcterms:created xsi:type="dcterms:W3CDTF">2026-10-29T21:16:38Z</dcterms:created>
  <dcterms:modified xsi:type="dcterms:W3CDTF">2026-10-29T21:16:38Z</dcterms:modified>
</cp:coreProperties>
</file>