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culadora" sheetId="1" state="visible" r:id="rId1"/>
    <sheet name="Año a año" sheetId="2" state="visible" r:id="rId2"/>
    <sheet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14">
    <font>
      <name val="Calibri"/>
      <family val="2"/>
      <color theme="1"/>
      <sz val="11"/>
      <scheme val="minor"/>
    </font>
    <font>
      <b val="1"/>
      <color rgb="001F1F1F"/>
      <sz val="16"/>
    </font>
    <font>
      <color rgb="006B7280"/>
      <sz val="10"/>
    </font>
    <font>
      <i val="1"/>
      <color rgb="00C2410C"/>
      <sz val="9"/>
    </font>
    <font>
      <color rgb="006B7280"/>
      <sz val="8"/>
    </font>
    <font>
      <b val="1"/>
      <color rgb="00C2410C"/>
      <sz val="11"/>
    </font>
    <font>
      <b val="1"/>
      <color rgb="009A3412"/>
    </font>
    <font>
      <color rgb="006B7280"/>
      <sz val="9"/>
    </font>
    <font>
      <b val="1"/>
    </font>
    <font>
      <b val="1"/>
      <sz val="13"/>
    </font>
    <font>
      <b val="1"/>
      <color rgb="001F1F1F"/>
      <sz val="14"/>
    </font>
    <font>
      <b val="1"/>
      <color rgb="00FFFFFF"/>
    </font>
    <font>
      <b val="1"/>
      <sz val="14"/>
    </font>
    <font>
      <color rgb="00374151"/>
      <sz val="10"/>
    </font>
  </fonts>
  <fills count="6">
    <fill>
      <patternFill/>
    </fill>
    <fill>
      <patternFill patternType="gray125"/>
    </fill>
    <fill>
      <patternFill patternType="solid">
        <fgColor rgb="00FDE9D9"/>
      </patternFill>
    </fill>
    <fill>
      <patternFill patternType="solid">
        <fgColor rgb="00E7F4EA"/>
      </patternFill>
    </fill>
    <fill>
      <patternFill patternType="solid">
        <fgColor rgb="00F3F4F6"/>
      </patternFill>
    </fill>
    <fill>
      <patternFill patternType="solid">
        <fgColor rgb="001F1F1F"/>
      </patternFill>
    </fill>
  </fills>
  <borders count="4">
    <border>
      <left/>
      <right/>
      <top/>
      <bottom/>
      <diagonal/>
    </border>
    <border>
      <bottom style="thin">
        <color rgb="00C2410C"/>
      </bottom>
    </border>
    <border>
      <left style="thin">
        <color rgb="00E8A87C"/>
      </left>
      <right style="thin">
        <color rgb="00E8A87C"/>
      </right>
      <top style="thin">
        <color rgb="00E8A87C"/>
      </top>
      <bottom style="thin">
        <color rgb="00E8A87C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5" fillId="0" borderId="1" pivotButton="0" quotePrefix="0" xfId="0"/>
    <xf numFmtId="0" fontId="0" fillId="0" borderId="1" pivotButton="0" quotePrefix="0" xfId="0"/>
    <xf numFmtId="4" fontId="6" fillId="2" borderId="2" pivotButton="0" quotePrefix="0" xfId="0"/>
    <xf numFmtId="0" fontId="7" fillId="0" borderId="0" pivotButton="0" quotePrefix="0" xfId="0"/>
    <xf numFmtId="164" fontId="6" fillId="2" borderId="2" pivotButton="0" quotePrefix="0" xfId="0"/>
    <xf numFmtId="10" fontId="6" fillId="2" borderId="2" pivotButton="0" quotePrefix="0" xfId="0"/>
    <xf numFmtId="1" fontId="6" fillId="2" borderId="2" pivotButton="0" quotePrefix="0" xfId="0"/>
    <xf numFmtId="0" fontId="8" fillId="0" borderId="0" pivotButton="0" quotePrefix="0" xfId="0"/>
    <xf numFmtId="10" fontId="9" fillId="3" borderId="0" applyAlignment="1" pivotButton="0" quotePrefix="0" xfId="0">
      <alignment horizontal="right"/>
    </xf>
    <xf numFmtId="4" fontId="9" fillId="3" borderId="0" applyAlignment="1" pivotButton="0" quotePrefix="0" xfId="0">
      <alignment horizontal="right"/>
    </xf>
    <xf numFmtId="4" fontId="0" fillId="4" borderId="0" applyAlignment="1" pivotButton="0" quotePrefix="0" xfId="0">
      <alignment horizontal="right"/>
    </xf>
    <xf numFmtId="10" fontId="0" fillId="4" borderId="0" applyAlignment="1" pivotButton="0" quotePrefix="0" xfId="0">
      <alignment horizontal="right"/>
    </xf>
    <xf numFmtId="164" fontId="0" fillId="4" borderId="0" applyAlignment="1" pivotButton="0" quotePrefix="0" xfId="0">
      <alignment horizontal="right"/>
    </xf>
    <xf numFmtId="0" fontId="10" fillId="0" borderId="0" pivotButton="0" quotePrefix="0" xfId="0"/>
    <xf numFmtId="0" fontId="11" fillId="5" borderId="0" applyAlignment="1" pivotButton="0" quotePrefix="0" xfId="0">
      <alignment horizontal="center" vertical="center" wrapText="1"/>
    </xf>
    <xf numFmtId="4" fontId="0" fillId="0" borderId="3" pivotButton="0" quotePrefix="0" xfId="0"/>
    <xf numFmtId="0" fontId="12" fillId="0" borderId="0" pivotButton="0" quotePrefix="0" xfId="0"/>
    <xf numFmtId="0" fontId="0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Lo que te queda cada año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'Año a año'!G5</f>
            </strRef>
          </tx>
          <spPr>
            <a:ln>
              <a:prstDash val="solid"/>
            </a:ln>
          </spPr>
          <cat>
            <numRef>
              <f>'Año a año'!$A$6:$A$45</f>
            </numRef>
          </cat>
          <val>
            <numRef>
              <f>'Año a año'!$G$6:$G$45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Año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4</row>
      <rowOff>0</rowOff>
    </from>
    <ext cx="720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46"/>
  <sheetViews>
    <sheetView showGridLines="0" tabSelected="1" workbookViewId="0">
      <selection activeCell="A1" sqref="A1"/>
    </sheetView>
  </sheetViews>
  <sheetFormatPr baseColWidth="8" defaultRowHeight="15"/>
  <cols>
    <col width="2" customWidth="1" min="1" max="1"/>
    <col width="50" customWidth="1" min="2" max="2"/>
    <col width="18" customWidth="1" min="3" max="3"/>
    <col width="66" customWidth="1" min="4" max="4"/>
  </cols>
  <sheetData>
    <row r="2">
      <c r="B2" s="1" t="inlineStr">
        <is>
          <t>Rentabilidad de una vivienda en alquiler</t>
        </is>
      </c>
      <c r="D2" s="2" t="inlineStr">
        <is>
          <t>Plantilla de skilio.com/calculadoras/rentabilidad-alquiler/</t>
        </is>
      </c>
    </row>
    <row r="3">
      <c r="B3" s="3" t="inlineStr">
        <is>
          <t>Rentabilidad bruta, neta y con hipoteca, y proyección año a año.</t>
        </is>
      </c>
    </row>
    <row r="4">
      <c r="B4" s="4" t="inlineStr">
        <is>
          <t>Cambia las celdas naranjas. Todo lo demás se calcula solo.</t>
        </is>
      </c>
    </row>
    <row r="6">
      <c r="B6" s="5" t="inlineStr">
        <is>
          <t>La vivienda</t>
        </is>
      </c>
      <c r="C6" s="6" t="n"/>
    </row>
    <row r="7">
      <c r="B7" t="inlineStr">
        <is>
          <t>Precio de compra</t>
        </is>
      </c>
      <c r="C7" s="7" t="n">
        <v>250000</v>
      </c>
    </row>
    <row r="8">
      <c r="B8" t="inlineStr">
        <is>
          <t>Alquiler que cobras al mes</t>
        </is>
      </c>
      <c r="C8" s="7" t="n">
        <v>1000</v>
      </c>
    </row>
    <row r="9">
      <c r="B9" t="inlineStr">
        <is>
          <t>Impuestos y gastos de compra</t>
        </is>
      </c>
      <c r="C9" s="7" t="n">
        <v>20000</v>
      </c>
      <c r="D9" s="8" t="inlineStr">
        <is>
          <t>Impuestos de la compra, notaría y registro.</t>
        </is>
      </c>
    </row>
    <row r="10">
      <c r="B10" t="inlineStr">
        <is>
          <t>Reforma y muebles</t>
        </is>
      </c>
      <c r="C10" s="7" t="n">
        <v>12000</v>
      </c>
    </row>
    <row r="12">
      <c r="B12" s="5" t="inlineStr">
        <is>
          <t>Gastos</t>
        </is>
      </c>
      <c r="C12" s="6" t="n"/>
    </row>
    <row r="13">
      <c r="B13" t="inlineStr">
        <is>
          <t>Comunidad o mantenimiento del edificio (al mes)</t>
        </is>
      </c>
      <c r="C13" s="7" t="n">
        <v>80</v>
      </c>
    </row>
    <row r="14">
      <c r="B14" t="inlineStr">
        <is>
          <t>Impuestos de la vivienda (al año)</t>
        </is>
      </c>
      <c r="C14" s="7" t="n">
        <v>350</v>
      </c>
      <c r="D14" s="8" t="inlineStr">
        <is>
          <t>En España, IBI y basuras.</t>
        </is>
      </c>
    </row>
    <row r="15">
      <c r="B15" t="inlineStr">
        <is>
          <t>Seguros (al año)</t>
        </is>
      </c>
      <c r="C15" s="7" t="n">
        <v>200</v>
      </c>
      <c r="D15" s="8" t="inlineStr">
        <is>
          <t>Hogar y, si lo tienes, seguro de impago.</t>
        </is>
      </c>
    </row>
    <row r="16">
      <c r="B16" t="inlineStr">
        <is>
          <t>Luz, agua, internet (al mes)</t>
        </is>
      </c>
      <c r="C16" s="7" t="n">
        <v>0</v>
      </c>
      <c r="D16" s="8" t="inlineStr">
        <is>
          <t>Solo si los pagas tú.</t>
        </is>
      </c>
    </row>
    <row r="17">
      <c r="B17" t="inlineStr">
        <is>
          <t>Reparaciones y otros gastos (al año)</t>
        </is>
      </c>
      <c r="C17" s="7" t="n">
        <v>0</v>
      </c>
      <c r="D17" s="8" t="inlineStr">
        <is>
          <t>Lo prudente: un 0,5-1 % del precio al año.</t>
        </is>
      </c>
    </row>
    <row r="18">
      <c r="B18" t="inlineStr">
        <is>
          <t>Meses sin inquilino al año</t>
        </is>
      </c>
      <c r="C18" s="9" t="n">
        <v>0</v>
      </c>
      <c r="D18" s="8" t="inlineStr">
        <is>
          <t>Lo prudente: 1 mes al año.</t>
        </is>
      </c>
    </row>
    <row r="19">
      <c r="B19" t="inlineStr">
        <is>
          <t>Impuesto sobre el beneficio</t>
        </is>
      </c>
      <c r="C19" s="10" t="n">
        <v>0</v>
      </c>
    </row>
    <row r="20">
      <c r="B20" t="inlineStr">
        <is>
          <t>Subida anual del alquiler y los gastos</t>
        </is>
      </c>
      <c r="C20" s="10" t="n">
        <v>0.02</v>
      </c>
      <c r="D20" s="8" t="inlineStr">
        <is>
          <t>Para la proyección año a año.</t>
        </is>
      </c>
    </row>
    <row r="22">
      <c r="B22" s="5" t="inlineStr">
        <is>
          <t>Si la compras con hipoteca (opcional)</t>
        </is>
      </c>
      <c r="C22" s="6" t="n"/>
    </row>
    <row r="23">
      <c r="B23" t="inlineStr">
        <is>
          <t>Importe de la hipoteca</t>
        </is>
      </c>
      <c r="C23" s="7" t="n">
        <v>0</v>
      </c>
      <c r="D23" s="8" t="inlineStr">
        <is>
          <t>Déjalo en 0 si la compras sin hipoteca.</t>
        </is>
      </c>
    </row>
    <row r="24">
      <c r="B24" t="inlineStr">
        <is>
          <t>Interés (TIN)</t>
        </is>
      </c>
      <c r="C24" s="10" t="n">
        <v>0.03</v>
      </c>
    </row>
    <row r="25">
      <c r="B25" t="inlineStr">
        <is>
          <t>Plazo (años)</t>
        </is>
      </c>
      <c r="C25" s="11" t="n">
        <v>25</v>
      </c>
    </row>
    <row r="27">
      <c r="B27" s="5" t="inlineStr">
        <is>
          <t>Resultados</t>
        </is>
      </c>
      <c r="C27" s="6" t="n"/>
    </row>
    <row r="28">
      <c r="B28" s="12" t="inlineStr">
        <is>
          <t>Rentabilidad neta</t>
        </is>
      </c>
      <c r="C28" s="13">
        <f>($C$8*(12-$C$18)-($C$13*12+$C$14+$C$15+$C$16*12+$C$17))/($C$7+$C$9+$C$10)</f>
        <v>0.03719858156028369</v>
      </c>
      <c r="D28" s="8" t="inlineStr">
        <is>
          <t>Beneficio entre todo lo invertido.</t>
        </is>
      </c>
    </row>
    <row r="29">
      <c r="B29" s="12" t="inlineStr">
        <is>
          <t>Rentabilidad bruta</t>
        </is>
      </c>
      <c r="C29" s="13">
        <f>$C$8*12/$C$7</f>
        <v>0.048</v>
      </c>
      <c r="D29" s="8" t="inlineStr">
        <is>
          <t>Alquiler de un año entre el precio.</t>
        </is>
      </c>
    </row>
    <row r="30">
      <c r="B30" s="12" t="inlineStr">
        <is>
          <t>Beneficio al año (después de impuestos)</t>
        </is>
      </c>
      <c r="C30" s="14">
        <f>($C$8*(12-$C$18)-($C$13*12+$C$14+$C$15+$C$16*12+$C$17))-MAX(0,($C$8*(12-$C$18)-($C$13*12+$C$14+$C$15+$C$16*12+$C$17)))*$C$19</f>
        <v>10490</v>
      </c>
    </row>
    <row r="31">
      <c r="B31" t="inlineStr">
        <is>
          <t>Alquiler cobrado al año</t>
        </is>
      </c>
      <c r="C31" s="15">
        <f>$C$8*(12-$C$18)</f>
        <v>12000</v>
      </c>
    </row>
    <row r="32">
      <c r="B32" t="inlineStr">
        <is>
          <t>Gastos de la vivienda al año</t>
        </is>
      </c>
      <c r="C32" s="15">
        <f>($C$13*12+$C$14+$C$15+$C$16*12+$C$17)</f>
        <v>1510</v>
      </c>
    </row>
    <row r="33">
      <c r="B33" t="inlineStr">
        <is>
          <t>Beneficio antes de impuestos</t>
        </is>
      </c>
      <c r="C33" s="15">
        <f>($C$8*(12-$C$18)-($C$13*12+$C$14+$C$15+$C$16*12+$C$17))</f>
        <v>10490</v>
      </c>
    </row>
    <row r="34">
      <c r="B34" t="inlineStr">
        <is>
          <t>Inversión total (precio + gastos + reforma)</t>
        </is>
      </c>
      <c r="C34" s="15">
        <f>($C$7+$C$9+$C$10)</f>
        <v>282000</v>
      </c>
    </row>
    <row r="35">
      <c r="B35" t="inlineStr">
        <is>
          <t>Rentabilidad neta después de impuestos</t>
        </is>
      </c>
      <c r="C35" s="16">
        <f>(($C$8*(12-$C$18)-($C$13*12+$C$14+$C$15+$C$16*12+$C$17))-MAX(0,($C$8*(12-$C$18)-($C$13*12+$C$14+$C$15+$C$16*12+$C$17)))*$C$19)/($C$7+$C$9+$C$10)</f>
        <v>0.03719858156028369</v>
      </c>
    </row>
    <row r="36">
      <c r="B36" t="inlineStr">
        <is>
          <t>Años de alquiler que cuesta la vivienda</t>
        </is>
      </c>
      <c r="C36" s="17">
        <f>IF($C$8&gt;0,$C$7/($C$8*12),"")</f>
        <v>20.833333333333332</v>
      </c>
    </row>
    <row r="37">
      <c r="B37" t="inlineStr">
        <is>
          <t>Años para recuperar lo invertido (sin hipoteca)</t>
        </is>
      </c>
      <c r="C37" s="17">
        <f>IF(($C$8*(12-$C$18)-($C$13*12+$C$14+$C$15+$C$16*12+$C$17))&gt;0,($C$7+$C$9+$C$10)/(($C$8*(12-$C$18)-($C$13*12+$C$14+$C$15+$C$16*12+$C$17))-MAX(0,($C$8*(12-$C$18)-($C$13*12+$C$14+$C$15+$C$16*12+$C$17)))*$C$19),"")</f>
        <v>26.88274547187798</v>
      </c>
    </row>
    <row r="39">
      <c r="B39" s="5" t="inlineStr">
        <is>
          <t>Con hipoteca (primer año)</t>
        </is>
      </c>
      <c r="C39" s="6" t="n"/>
    </row>
    <row r="40">
      <c r="B40" t="inlineStr">
        <is>
          <t>Hipoteca (como mucho, la inversión total)</t>
        </is>
      </c>
      <c r="C40" s="15">
        <f>MIN($C$23,($C$7+$C$9+$C$10))</f>
        <v>0</v>
      </c>
    </row>
    <row r="41">
      <c r="B41" t="inlineStr">
        <is>
          <t>Cuota de la hipoteca</t>
        </is>
      </c>
      <c r="C41" s="15">
        <f>IF($C$40&gt;0,PMT($C$24/12,$C$25*12,-$C$40),0)</f>
        <v>0</v>
      </c>
    </row>
    <row r="42">
      <c r="B42" t="inlineStr">
        <is>
          <t>Intereses del primer año</t>
        </is>
      </c>
      <c r="C42" s="15">
        <f>IF($C$40&gt;0,IFERROR(-CUMIPMT($C$24/12,$C$25*12,$C$40,1,MIN(12,$C$25*12),0),0),0)</f>
        <v>0</v>
      </c>
    </row>
    <row r="43">
      <c r="B43" t="inlineStr">
        <is>
          <t>Impuestos del primer año</t>
        </is>
      </c>
      <c r="C43" s="15">
        <f>MAX(0,($C$8*(12-$C$18)-($C$13*12+$C$14+$C$15+$C$16*12+$C$17))-$C$42)*$C$19</f>
        <v>0</v>
      </c>
    </row>
    <row r="44">
      <c r="B44" t="inlineStr">
        <is>
          <t>Dinero que pones tú</t>
        </is>
      </c>
      <c r="C44" s="15">
        <f>($C$7+$C$9+$C$10)-$C$40</f>
        <v>282000</v>
      </c>
    </row>
    <row r="45">
      <c r="B45" t="inlineStr">
        <is>
          <t>Rentabilidad sobre tu dinero</t>
        </is>
      </c>
      <c r="C45" s="16" t="str">
        <f>IF(AND($C$40&gt;0,$C$44&gt;0),(($C$8*(12-$C$18)-($C$13*12+$C$14+$C$15+$C$16*12+$C$17))-$C$42-$C$43)/$C$44,"")</f>
        <v/>
      </c>
      <c r="D45" s="8" t="inlineStr">
        <is>
          <t>Lo que ganas el primer año entre el dinero que pones tú.</t>
        </is>
      </c>
    </row>
    <row r="46">
      <c r="B46" t="inlineStr">
        <is>
          <t>Te queda cada mes tras pagar la cuota</t>
        </is>
      </c>
      <c r="C46" s="15" t="str">
        <f>IF($C$40&gt;0,(($C$8*(12-$C$18)-($C$13*12+$C$14+$C$15+$C$16*12+$C$17))-$C$41*12-$C$43)/12,"")</f>
        <v/>
      </c>
      <c r="D46" s="8" t="inlineStr">
        <is>
          <t>Si sale negativo, lo pones de tu bolsillo.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I45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5" customWidth="1" min="2" max="2"/>
    <col width="13" customWidth="1" min="3" max="3"/>
    <col width="15" customWidth="1" min="4" max="4"/>
    <col width="15" customWidth="1" min="5" max="5"/>
    <col width="12" customWidth="1" min="6" max="6"/>
    <col width="14" customWidth="1" min="7" max="7"/>
    <col width="15" customWidth="1" min="8" max="8"/>
    <col width="15" customWidth="1" min="9" max="9"/>
  </cols>
  <sheetData>
    <row r="2">
      <c r="B2" s="18" t="inlineStr">
        <is>
          <t>Proyección año a año</t>
        </is>
      </c>
    </row>
    <row r="3">
      <c r="B3" s="8" t="inlineStr">
        <is>
          <t>Sin hipoteca, 20 años; con hipoteca, el plazo (entre 10 y 40 años).</t>
        </is>
      </c>
    </row>
    <row r="4">
      <c r="B4" s="2" t="inlineStr">
        <is>
          <t>Plantilla de skilio.com/calculadoras/rentabilidad-alquiler/</t>
        </is>
      </c>
    </row>
    <row r="5" ht="45" customHeight="1">
      <c r="A5" s="19" t="inlineStr">
        <is>
          <t>Año</t>
        </is>
      </c>
      <c r="B5" s="19" t="inlineStr">
        <is>
          <t>Alquiler cobrado</t>
        </is>
      </c>
      <c r="C5" s="19" t="inlineStr">
        <is>
          <t>Gastos</t>
        </is>
      </c>
      <c r="D5" s="19" t="inlineStr">
        <is>
          <t>Intereses de la hipoteca</t>
        </is>
      </c>
      <c r="E5" s="19" t="inlineStr">
        <is>
          <t>Cuota de la hipoteca</t>
        </is>
      </c>
      <c r="F5" s="19" t="inlineStr">
        <is>
          <t>Impuestos</t>
        </is>
      </c>
      <c r="G5" s="19" t="inlineStr">
        <is>
          <t>Te queda</t>
        </is>
      </c>
      <c r="H5" s="19" t="inlineStr">
        <is>
          <t>Acumulado</t>
        </is>
      </c>
      <c r="I5" s="19" t="inlineStr">
        <is>
          <t>Deuda pendiente</t>
        </is>
      </c>
    </row>
    <row r="6">
      <c r="A6">
        <f>IF(1&lt;=IF('Calculadora'!$C$40&gt;0,MAX(10,MIN(40,'Calculadora'!$C$25)),20),1,"")</f>
        <v>1</v>
      </c>
      <c r="B6" s="20">
        <f>IF(A6="","",'Calculadora'!$C$8*(12-'Calculadora'!$C$18)*(1+'Calculadora'!$C$20)^(1-1))</f>
        <v>12000</v>
      </c>
      <c r="C6" s="20">
        <f>IF(A6="","",('Calculadora'!$C$13*12+'Calculadora'!$C$14+'Calculadora'!$C$15+'Calculadora'!$C$16*12+'Calculadora'!$C$17)*(1+'Calculadora'!$C$20)^(1-1))</f>
        <v>1510</v>
      </c>
      <c r="D6" s="20">
        <f>IF(A6="","",IF(AND('Calculadora'!$C$40&gt;0,1&lt;='Calculadora'!$C$25),IFERROR(-CUMIPMT('Calculadora'!$C$24/12,'Calculadora'!$C$25*12,'Calculadora'!$C$40,1,12,0),0),0))</f>
        <v>0</v>
      </c>
      <c r="E6" s="20">
        <f>IF(A6="","",IF(AND('Calculadora'!$C$40&gt;0,1&lt;='Calculadora'!$C$25),'Calculadora'!$C$41*12,0))</f>
        <v>0</v>
      </c>
      <c r="F6" s="20">
        <f>IF(A6="","",MAX(0,B6-C6-D6)*'Calculadora'!$C$19)</f>
        <v>0</v>
      </c>
      <c r="G6" s="20">
        <f>IF(A6="","",B6-C6-F6-E6)</f>
        <v>10490</v>
      </c>
      <c r="H6" s="20">
        <f>IF(A6="","",G6)</f>
        <v>10490</v>
      </c>
      <c r="I6" s="20">
        <f>IF(A6="","",IF(AND('Calculadora'!$C$40&gt;0,1&lt;='Calculadora'!$C$25),MAX(0,-FV('Calculadora'!$C$24/12,12,-'Calculadora'!$C$41,'Calculadora'!$C$40)),0))</f>
        <v>0</v>
      </c>
    </row>
    <row r="7">
      <c r="A7">
        <f>IF(2&lt;=IF('Calculadora'!$C$40&gt;0,MAX(10,MIN(40,'Calculadora'!$C$25)),20),2,"")</f>
        <v>2</v>
      </c>
      <c r="B7" s="20">
        <f>IF(A7="","",'Calculadora'!$C$8*(12-'Calculadora'!$C$18)*(1+'Calculadora'!$C$20)^(2-1))</f>
        <v>12240</v>
      </c>
      <c r="C7" s="20">
        <f>IF(A7="","",('Calculadora'!$C$13*12+'Calculadora'!$C$14+'Calculadora'!$C$15+'Calculadora'!$C$16*12+'Calculadora'!$C$17)*(1+'Calculadora'!$C$20)^(2-1))</f>
        <v>1540.2</v>
      </c>
      <c r="D7" s="20">
        <f>IF(A7="","",IF(AND('Calculadora'!$C$40&gt;0,2&lt;='Calculadora'!$C$25),IFERROR(-CUMIPMT('Calculadora'!$C$24/12,'Calculadora'!$C$25*12,'Calculadora'!$C$40,13,24,0),0),0))</f>
        <v>0</v>
      </c>
      <c r="E7" s="20">
        <f>IF(A7="","",IF(AND('Calculadora'!$C$40&gt;0,2&lt;='Calculadora'!$C$25),'Calculadora'!$C$41*12,0))</f>
        <v>0</v>
      </c>
      <c r="F7" s="20">
        <f>IF(A7="","",MAX(0,B7-C7-D7)*'Calculadora'!$C$19)</f>
        <v>0</v>
      </c>
      <c r="G7" s="20">
        <f>IF(A7="","",B7-C7-F7-E7)</f>
        <v>10699.8</v>
      </c>
      <c r="H7" s="20">
        <f>IF(A7="","",N(H6)+G7)</f>
        <v>21189.8</v>
      </c>
      <c r="I7" s="20">
        <f>IF(A7="","",IF(AND('Calculadora'!$C$40&gt;0,2&lt;='Calculadora'!$C$25),MAX(0,-FV('Calculadora'!$C$24/12,24,-'Calculadora'!$C$41,'Calculadora'!$C$40)),0))</f>
        <v>0</v>
      </c>
    </row>
    <row r="8">
      <c r="A8">
        <f>IF(3&lt;=IF('Calculadora'!$C$40&gt;0,MAX(10,MIN(40,'Calculadora'!$C$25)),20),3,"")</f>
        <v>3</v>
      </c>
      <c r="B8" s="20">
        <f>IF(A8="","",'Calculadora'!$C$8*(12-'Calculadora'!$C$18)*(1+'Calculadora'!$C$20)^(3-1))</f>
        <v>12484.8</v>
      </c>
      <c r="C8" s="20">
        <f>IF(A8="","",('Calculadora'!$C$13*12+'Calculadora'!$C$14+'Calculadora'!$C$15+'Calculadora'!$C$16*12+'Calculadora'!$C$17)*(1+'Calculadora'!$C$20)^(3-1))</f>
        <v>1571.004</v>
      </c>
      <c r="D8" s="20">
        <f>IF(A8="","",IF(AND('Calculadora'!$C$40&gt;0,3&lt;='Calculadora'!$C$25),IFERROR(-CUMIPMT('Calculadora'!$C$24/12,'Calculadora'!$C$25*12,'Calculadora'!$C$40,25,36,0),0),0))</f>
        <v>0</v>
      </c>
      <c r="E8" s="20">
        <f>IF(A8="","",IF(AND('Calculadora'!$C$40&gt;0,3&lt;='Calculadora'!$C$25),'Calculadora'!$C$41*12,0))</f>
        <v>0</v>
      </c>
      <c r="F8" s="20">
        <f>IF(A8="","",MAX(0,B8-C8-D8)*'Calculadora'!$C$19)</f>
        <v>0</v>
      </c>
      <c r="G8" s="20">
        <f>IF(A8="","",B8-C8-F8-E8)</f>
        <v>10913.795999999998</v>
      </c>
      <c r="H8" s="20">
        <f>IF(A8="","",N(H7)+G8)</f>
        <v>32103.595999999998</v>
      </c>
      <c r="I8" s="20">
        <f>IF(A8="","",IF(AND('Calculadora'!$C$40&gt;0,3&lt;='Calculadora'!$C$25),MAX(0,-FV('Calculadora'!$C$24/12,36,-'Calculadora'!$C$41,'Calculadora'!$C$40)),0))</f>
        <v>0</v>
      </c>
    </row>
    <row r="9">
      <c r="A9">
        <f>IF(4&lt;=IF('Calculadora'!$C$40&gt;0,MAX(10,MIN(40,'Calculadora'!$C$25)),20),4,"")</f>
        <v>4</v>
      </c>
      <c r="B9" s="20">
        <f>IF(A9="","",'Calculadora'!$C$8*(12-'Calculadora'!$C$18)*(1+'Calculadora'!$C$20)^(4-1))</f>
        <v>12734.496000000001</v>
      </c>
      <c r="C9" s="20">
        <f>IF(A9="","",('Calculadora'!$C$13*12+'Calculadora'!$C$14+'Calculadora'!$C$15+'Calculadora'!$C$16*12+'Calculadora'!$C$17)*(1+'Calculadora'!$C$20)^(4-1))</f>
        <v>1602.4240800000002</v>
      </c>
      <c r="D9" s="20">
        <f>IF(A9="","",IF(AND('Calculadora'!$C$40&gt;0,4&lt;='Calculadora'!$C$25),IFERROR(-CUMIPMT('Calculadora'!$C$24/12,'Calculadora'!$C$25*12,'Calculadora'!$C$40,37,48,0),0),0))</f>
        <v>0</v>
      </c>
      <c r="E9" s="20">
        <f>IF(A9="","",IF(AND('Calculadora'!$C$40&gt;0,4&lt;='Calculadora'!$C$25),'Calculadora'!$C$41*12,0))</f>
        <v>0</v>
      </c>
      <c r="F9" s="20">
        <f>IF(A9="","",MAX(0,B9-C9-D9)*'Calculadora'!$C$19)</f>
        <v>0</v>
      </c>
      <c r="G9" s="20">
        <f>IF(A9="","",B9-C9-F9-E9)</f>
        <v>11132.07192</v>
      </c>
      <c r="H9" s="20">
        <f>IF(A9="","",N(H8)+G9)</f>
        <v>43235.66792</v>
      </c>
      <c r="I9" s="20">
        <f>IF(A9="","",IF(AND('Calculadora'!$C$40&gt;0,4&lt;='Calculadora'!$C$25),MAX(0,-FV('Calculadora'!$C$24/12,48,-'Calculadora'!$C$41,'Calculadora'!$C$40)),0))</f>
        <v>0</v>
      </c>
    </row>
    <row r="10">
      <c r="A10">
        <f>IF(5&lt;=IF('Calculadora'!$C$40&gt;0,MAX(10,MIN(40,'Calculadora'!$C$25)),20),5,"")</f>
        <v>5</v>
      </c>
      <c r="B10" s="20">
        <f>IF(A10="","",'Calculadora'!$C$8*(12-'Calculadora'!$C$18)*(1+'Calculadora'!$C$20)^(5-1))</f>
        <v>12989.18592</v>
      </c>
      <c r="C10" s="20">
        <f>IF(A10="","",('Calculadora'!$C$13*12+'Calculadora'!$C$14+'Calculadora'!$C$15+'Calculadora'!$C$16*12+'Calculadora'!$C$17)*(1+'Calculadora'!$C$20)^(5-1))</f>
        <v>1634.4725616</v>
      </c>
      <c r="D10" s="20">
        <f>IF(A10="","",IF(AND('Calculadora'!$C$40&gt;0,5&lt;='Calculadora'!$C$25),IFERROR(-CUMIPMT('Calculadora'!$C$24/12,'Calculadora'!$C$25*12,'Calculadora'!$C$40,49,60,0),0),0))</f>
        <v>0</v>
      </c>
      <c r="E10" s="20">
        <f>IF(A10="","",IF(AND('Calculadora'!$C$40&gt;0,5&lt;='Calculadora'!$C$25),'Calculadora'!$C$41*12,0))</f>
        <v>0</v>
      </c>
      <c r="F10" s="20">
        <f>IF(A10="","",MAX(0,B10-C10-D10)*'Calculadora'!$C$19)</f>
        <v>0</v>
      </c>
      <c r="G10" s="20">
        <f>IF(A10="","",B10-C10-F10-E10)</f>
        <v>11354.7133584</v>
      </c>
      <c r="H10" s="20">
        <f>IF(A10="","",N(H9)+G10)</f>
        <v>54590.381278400004</v>
      </c>
      <c r="I10" s="20">
        <f>IF(A10="","",IF(AND('Calculadora'!$C$40&gt;0,5&lt;='Calculadora'!$C$25),MAX(0,-FV('Calculadora'!$C$24/12,60,-'Calculadora'!$C$41,'Calculadora'!$C$40)),0))</f>
        <v>0</v>
      </c>
    </row>
    <row r="11">
      <c r="A11">
        <f>IF(6&lt;=IF('Calculadora'!$C$40&gt;0,MAX(10,MIN(40,'Calculadora'!$C$25)),20),6,"")</f>
        <v>6</v>
      </c>
      <c r="B11" s="20">
        <f>IF(A11="","",'Calculadora'!$C$8*(12-'Calculadora'!$C$18)*(1+'Calculadora'!$C$20)^(6-1))</f>
        <v>13248.9696384</v>
      </c>
      <c r="C11" s="20">
        <f>IF(A11="","",('Calculadora'!$C$13*12+'Calculadora'!$C$14+'Calculadora'!$C$15+'Calculadora'!$C$16*12+'Calculadora'!$C$17)*(1+'Calculadora'!$C$20)^(6-1))</f>
        <v>1667.162012832</v>
      </c>
      <c r="D11" s="20">
        <f>IF(A11="","",IF(AND('Calculadora'!$C$40&gt;0,6&lt;='Calculadora'!$C$25),IFERROR(-CUMIPMT('Calculadora'!$C$24/12,'Calculadora'!$C$25*12,'Calculadora'!$C$40,61,72,0),0),0))</f>
        <v>0</v>
      </c>
      <c r="E11" s="20">
        <f>IF(A11="","",IF(AND('Calculadora'!$C$40&gt;0,6&lt;='Calculadora'!$C$25),'Calculadora'!$C$41*12,0))</f>
        <v>0</v>
      </c>
      <c r="F11" s="20">
        <f>IF(A11="","",MAX(0,B11-C11-D11)*'Calculadora'!$C$19)</f>
        <v>0</v>
      </c>
      <c r="G11" s="20">
        <f>IF(A11="","",B11-C11-F11-E11)</f>
        <v>11581.807625567999</v>
      </c>
      <c r="H11" s="20">
        <f>IF(A11="","",N(H10)+G11)</f>
        <v>66172.188903968</v>
      </c>
      <c r="I11" s="20">
        <f>IF(A11="","",IF(AND('Calculadora'!$C$40&gt;0,6&lt;='Calculadora'!$C$25),MAX(0,-FV('Calculadora'!$C$24/12,72,-'Calculadora'!$C$41,'Calculadora'!$C$40)),0))</f>
        <v>0</v>
      </c>
    </row>
    <row r="12">
      <c r="A12">
        <f>IF(7&lt;=IF('Calculadora'!$C$40&gt;0,MAX(10,MIN(40,'Calculadora'!$C$25)),20),7,"")</f>
        <v>7</v>
      </c>
      <c r="B12" s="20">
        <f>IF(A12="","",'Calculadora'!$C$8*(12-'Calculadora'!$C$18)*(1+'Calculadora'!$C$20)^(7-1))</f>
        <v>13513.949031168</v>
      </c>
      <c r="C12" s="20">
        <f>IF(A12="","",('Calculadora'!$C$13*12+'Calculadora'!$C$14+'Calculadora'!$C$15+'Calculadora'!$C$16*12+'Calculadora'!$C$17)*(1+'Calculadora'!$C$20)^(7-1))</f>
        <v>1700.50525308864</v>
      </c>
      <c r="D12" s="20">
        <f>IF(A12="","",IF(AND('Calculadora'!$C$40&gt;0,7&lt;='Calculadora'!$C$25),IFERROR(-CUMIPMT('Calculadora'!$C$24/12,'Calculadora'!$C$25*12,'Calculadora'!$C$40,73,84,0),0),0))</f>
        <v>0</v>
      </c>
      <c r="E12" s="20">
        <f>IF(A12="","",IF(AND('Calculadora'!$C$40&gt;0,7&lt;='Calculadora'!$C$25),'Calculadora'!$C$41*12,0))</f>
        <v>0</v>
      </c>
      <c r="F12" s="20">
        <f>IF(A12="","",MAX(0,B12-C12-D12)*'Calculadora'!$C$19)</f>
        <v>0</v>
      </c>
      <c r="G12" s="20">
        <f>IF(A12="","",B12-C12-F12-E12)</f>
        <v>11813.44377807936</v>
      </c>
      <c r="H12" s="20">
        <f>IF(A12="","",N(H11)+G12)</f>
        <v>77985.63268204735</v>
      </c>
      <c r="I12" s="20">
        <f>IF(A12="","",IF(AND('Calculadora'!$C$40&gt;0,7&lt;='Calculadora'!$C$25),MAX(0,-FV('Calculadora'!$C$24/12,84,-'Calculadora'!$C$41,'Calculadora'!$C$40)),0))</f>
        <v>0</v>
      </c>
    </row>
    <row r="13">
      <c r="A13">
        <f>IF(8&lt;=IF('Calculadora'!$C$40&gt;0,MAX(10,MIN(40,'Calculadora'!$C$25)),20),8,"")</f>
        <v>8</v>
      </c>
      <c r="B13" s="20">
        <f>IF(A13="","",'Calculadora'!$C$8*(12-'Calculadora'!$C$18)*(1+'Calculadora'!$C$20)^(8-1))</f>
        <v>13784.22801179136</v>
      </c>
      <c r="C13" s="20">
        <f>IF(A13="","",('Calculadora'!$C$13*12+'Calculadora'!$C$14+'Calculadora'!$C$15+'Calculadora'!$C$16*12+'Calculadora'!$C$17)*(1+'Calculadora'!$C$20)^(8-1))</f>
        <v>1734.5153581504128</v>
      </c>
      <c r="D13" s="20">
        <f>IF(A13="","",IF(AND('Calculadora'!$C$40&gt;0,8&lt;='Calculadora'!$C$25),IFERROR(-CUMIPMT('Calculadora'!$C$24/12,'Calculadora'!$C$25*12,'Calculadora'!$C$40,85,96,0),0),0))</f>
        <v>0</v>
      </c>
      <c r="E13" s="20">
        <f>IF(A13="","",IF(AND('Calculadora'!$C$40&gt;0,8&lt;='Calculadora'!$C$25),'Calculadora'!$C$41*12,0))</f>
        <v>0</v>
      </c>
      <c r="F13" s="20">
        <f>IF(A13="","",MAX(0,B13-C13-D13)*'Calculadora'!$C$19)</f>
        <v>0</v>
      </c>
      <c r="G13" s="20">
        <f>IF(A13="","",B13-C13-F13-E13)</f>
        <v>12049.712653640947</v>
      </c>
      <c r="H13" s="20">
        <f>IF(A13="","",N(H12)+G13)</f>
        <v>90035.3453356883</v>
      </c>
      <c r="I13" s="20">
        <f>IF(A13="","",IF(AND('Calculadora'!$C$40&gt;0,8&lt;='Calculadora'!$C$25),MAX(0,-FV('Calculadora'!$C$24/12,96,-'Calculadora'!$C$41,'Calculadora'!$C$40)),0))</f>
        <v>0</v>
      </c>
    </row>
    <row r="14">
      <c r="A14">
        <f>IF(9&lt;=IF('Calculadora'!$C$40&gt;0,MAX(10,MIN(40,'Calculadora'!$C$25)),20),9,"")</f>
        <v>9</v>
      </c>
      <c r="B14" s="20">
        <f>IF(A14="","",'Calculadora'!$C$8*(12-'Calculadora'!$C$18)*(1+'Calculadora'!$C$20)^(9-1))</f>
        <v>14059.91257202719</v>
      </c>
      <c r="C14" s="20">
        <f>IF(A14="","",('Calculadora'!$C$13*12+'Calculadora'!$C$14+'Calculadora'!$C$15+'Calculadora'!$C$16*12+'Calculadora'!$C$17)*(1+'Calculadora'!$C$20)^(9-1))</f>
        <v>1769.2056653134214</v>
      </c>
      <c r="D14" s="20">
        <f>IF(A14="","",IF(AND('Calculadora'!$C$40&gt;0,9&lt;='Calculadora'!$C$25),IFERROR(-CUMIPMT('Calculadora'!$C$24/12,'Calculadora'!$C$25*12,'Calculadora'!$C$40,97,108,0),0),0))</f>
        <v>0</v>
      </c>
      <c r="E14" s="20">
        <f>IF(A14="","",IF(AND('Calculadora'!$C$40&gt;0,9&lt;='Calculadora'!$C$25),'Calculadora'!$C$41*12,0))</f>
        <v>0</v>
      </c>
      <c r="F14" s="20">
        <f>IF(A14="","",MAX(0,B14-C14-D14)*'Calculadora'!$C$19)</f>
        <v>0</v>
      </c>
      <c r="G14" s="20">
        <f>IF(A14="","",B14-C14-F14-E14)</f>
        <v>12290.706906713767</v>
      </c>
      <c r="H14" s="20">
        <f>IF(A14="","",N(H13)+G14)</f>
        <v>102326.05224240206</v>
      </c>
      <c r="I14" s="20">
        <f>IF(A14="","",IF(AND('Calculadora'!$C$40&gt;0,9&lt;='Calculadora'!$C$25),MAX(0,-FV('Calculadora'!$C$24/12,108,-'Calculadora'!$C$41,'Calculadora'!$C$40)),0))</f>
        <v>0</v>
      </c>
    </row>
    <row r="15">
      <c r="A15">
        <f>IF(10&lt;=IF('Calculadora'!$C$40&gt;0,MAX(10,MIN(40,'Calculadora'!$C$25)),20),10,"")</f>
        <v>10</v>
      </c>
      <c r="B15" s="20">
        <f>IF(A15="","",'Calculadora'!$C$8*(12-'Calculadora'!$C$18)*(1+'Calculadora'!$C$20)^(10-1))</f>
        <v>14341.110823467732</v>
      </c>
      <c r="C15" s="20">
        <f>IF(A15="","",('Calculadora'!$C$13*12+'Calculadora'!$C$14+'Calculadora'!$C$15+'Calculadora'!$C$16*12+'Calculadora'!$C$17)*(1+'Calculadora'!$C$20)^(10-1))</f>
        <v>1804.5897786196897</v>
      </c>
      <c r="D15" s="20">
        <f>IF(A15="","",IF(AND('Calculadora'!$C$40&gt;0,10&lt;='Calculadora'!$C$25),IFERROR(-CUMIPMT('Calculadora'!$C$24/12,'Calculadora'!$C$25*12,'Calculadora'!$C$40,109,120,0),0),0))</f>
        <v>0</v>
      </c>
      <c r="E15" s="20">
        <f>IF(A15="","",IF(AND('Calculadora'!$C$40&gt;0,10&lt;='Calculadora'!$C$25),'Calculadora'!$C$41*12,0))</f>
        <v>0</v>
      </c>
      <c r="F15" s="20">
        <f>IF(A15="","",MAX(0,B15-C15-D15)*'Calculadora'!$C$19)</f>
        <v>0</v>
      </c>
      <c r="G15" s="20">
        <f>IF(A15="","",B15-C15-F15-E15)</f>
        <v>12536.521044848043</v>
      </c>
      <c r="H15" s="20">
        <f>IF(A15="","",N(H14)+G15)</f>
        <v>114862.5732872501</v>
      </c>
      <c r="I15" s="20">
        <f>IF(A15="","",IF(AND('Calculadora'!$C$40&gt;0,10&lt;='Calculadora'!$C$25),MAX(0,-FV('Calculadora'!$C$24/12,120,-'Calculadora'!$C$41,'Calculadora'!$C$40)),0))</f>
        <v>0</v>
      </c>
    </row>
    <row r="16">
      <c r="A16">
        <f>IF(11&lt;=IF('Calculadora'!$C$40&gt;0,MAX(10,MIN(40,'Calculadora'!$C$25)),20),11,"")</f>
        <v>11</v>
      </c>
      <c r="B16" s="20">
        <f>IF(A16="","",'Calculadora'!$C$8*(12-'Calculadora'!$C$18)*(1+'Calculadora'!$C$20)^(11-1))</f>
        <v>14627.933039937088</v>
      </c>
      <c r="C16" s="20">
        <f>IF(A16="","",('Calculadora'!$C$13*12+'Calculadora'!$C$14+'Calculadora'!$C$15+'Calculadora'!$C$16*12+'Calculadora'!$C$17)*(1+'Calculadora'!$C$20)^(11-1))</f>
        <v>1840.6815741920836</v>
      </c>
      <c r="D16" s="20">
        <f>IF(A16="","",IF(AND('Calculadora'!$C$40&gt;0,11&lt;='Calculadora'!$C$25),IFERROR(-CUMIPMT('Calculadora'!$C$24/12,'Calculadora'!$C$25*12,'Calculadora'!$C$40,121,132,0),0),0))</f>
        <v>0</v>
      </c>
      <c r="E16" s="20">
        <f>IF(A16="","",IF(AND('Calculadora'!$C$40&gt;0,11&lt;='Calculadora'!$C$25),'Calculadora'!$C$41*12,0))</f>
        <v>0</v>
      </c>
      <c r="F16" s="20">
        <f>IF(A16="","",MAX(0,B16-C16-D16)*'Calculadora'!$C$19)</f>
        <v>0</v>
      </c>
      <c r="G16" s="20">
        <f>IF(A16="","",B16-C16-F16-E16)</f>
        <v>12787.251465745005</v>
      </c>
      <c r="H16" s="20">
        <f>IF(A16="","",N(H15)+G16)</f>
        <v>127649.8247529951</v>
      </c>
      <c r="I16" s="20">
        <f>IF(A16="","",IF(AND('Calculadora'!$C$40&gt;0,11&lt;='Calculadora'!$C$25),MAX(0,-FV('Calculadora'!$C$24/12,132,-'Calculadora'!$C$41,'Calculadora'!$C$40)),0))</f>
        <v>0</v>
      </c>
    </row>
    <row r="17">
      <c r="A17">
        <f>IF(12&lt;=IF('Calculadora'!$C$40&gt;0,MAX(10,MIN(40,'Calculadora'!$C$25)),20),12,"")</f>
        <v>12</v>
      </c>
      <c r="B17" s="20">
        <f>IF(A17="","",'Calculadora'!$C$8*(12-'Calculadora'!$C$18)*(1+'Calculadora'!$C$20)^(12-1))</f>
        <v>14920.491700735829</v>
      </c>
      <c r="C17" s="20">
        <f>IF(A17="","",('Calculadora'!$C$13*12+'Calculadora'!$C$14+'Calculadora'!$C$15+'Calculadora'!$C$16*12+'Calculadora'!$C$17)*(1+'Calculadora'!$C$20)^(12-1))</f>
        <v>1877.4952056759253</v>
      </c>
      <c r="D17" s="20">
        <f>IF(A17="","",IF(AND('Calculadora'!$C$40&gt;0,12&lt;='Calculadora'!$C$25),IFERROR(-CUMIPMT('Calculadora'!$C$24/12,'Calculadora'!$C$25*12,'Calculadora'!$C$40,133,144,0),0),0))</f>
        <v>0</v>
      </c>
      <c r="E17" s="20">
        <f>IF(A17="","",IF(AND('Calculadora'!$C$40&gt;0,12&lt;='Calculadora'!$C$25),'Calculadora'!$C$41*12,0))</f>
        <v>0</v>
      </c>
      <c r="F17" s="20">
        <f>IF(A17="","",MAX(0,B17-C17-D17)*'Calculadora'!$C$19)</f>
        <v>0</v>
      </c>
      <c r="G17" s="20">
        <f>IF(A17="","",B17-C17-F17-E17)</f>
        <v>13042.996495059904</v>
      </c>
      <c r="H17" s="20">
        <f>IF(A17="","",N(H16)+G17)</f>
        <v>140692.821248055</v>
      </c>
      <c r="I17" s="20">
        <f>IF(A17="","",IF(AND('Calculadora'!$C$40&gt;0,12&lt;='Calculadora'!$C$25),MAX(0,-FV('Calculadora'!$C$24/12,144,-'Calculadora'!$C$41,'Calculadora'!$C$40)),0))</f>
        <v>0</v>
      </c>
    </row>
    <row r="18">
      <c r="A18">
        <f>IF(13&lt;=IF('Calculadora'!$C$40&gt;0,MAX(10,MIN(40,'Calculadora'!$C$25)),20),13,"")</f>
        <v>13</v>
      </c>
      <c r="B18" s="20">
        <f>IF(A18="","",'Calculadora'!$C$8*(12-'Calculadora'!$C$18)*(1+'Calculadora'!$C$20)^(13-1))</f>
        <v>15218.901534750546</v>
      </c>
      <c r="C18" s="20">
        <f>IF(A18="","",('Calculadora'!$C$13*12+'Calculadora'!$C$14+'Calculadora'!$C$15+'Calculadora'!$C$16*12+'Calculadora'!$C$17)*(1+'Calculadora'!$C$20)^(13-1))</f>
        <v>1915.0451097894436</v>
      </c>
      <c r="D18" s="20">
        <f>IF(A18="","",IF(AND('Calculadora'!$C$40&gt;0,13&lt;='Calculadora'!$C$25),IFERROR(-CUMIPMT('Calculadora'!$C$24/12,'Calculadora'!$C$25*12,'Calculadora'!$C$40,145,156,0),0),0))</f>
        <v>0</v>
      </c>
      <c r="E18" s="20">
        <f>IF(A18="","",IF(AND('Calculadora'!$C$40&gt;0,13&lt;='Calculadora'!$C$25),'Calculadora'!$C$41*12,0))</f>
        <v>0</v>
      </c>
      <c r="F18" s="20">
        <f>IF(A18="","",MAX(0,B18-C18-D18)*'Calculadora'!$C$19)</f>
        <v>0</v>
      </c>
      <c r="G18" s="20">
        <f>IF(A18="","",B18-C18-F18-E18)</f>
        <v>13303.856424961103</v>
      </c>
      <c r="H18" s="20">
        <f>IF(A18="","",N(H17)+G18)</f>
        <v>153996.6776730161</v>
      </c>
      <c r="I18" s="20">
        <f>IF(A18="","",IF(AND('Calculadora'!$C$40&gt;0,13&lt;='Calculadora'!$C$25),MAX(0,-FV('Calculadora'!$C$24/12,156,-'Calculadora'!$C$41,'Calculadora'!$C$40)),0))</f>
        <v>0</v>
      </c>
    </row>
    <row r="19">
      <c r="A19">
        <f>IF(14&lt;=IF('Calculadora'!$C$40&gt;0,MAX(10,MIN(40,'Calculadora'!$C$25)),20),14,"")</f>
        <v>14</v>
      </c>
      <c r="B19" s="20">
        <f>IF(A19="","",'Calculadora'!$C$8*(12-'Calculadora'!$C$18)*(1+'Calculadora'!$C$20)^(14-1))</f>
        <v>15523.279565445559</v>
      </c>
      <c r="C19" s="20">
        <f>IF(A19="","",('Calculadora'!$C$13*12+'Calculadora'!$C$14+'Calculadora'!$C$15+'Calculadora'!$C$16*12+'Calculadora'!$C$17)*(1+'Calculadora'!$C$20)^(14-1))</f>
        <v>1953.3460119852327</v>
      </c>
      <c r="D19" s="20">
        <f>IF(A19="","",IF(AND('Calculadora'!$C$40&gt;0,14&lt;='Calculadora'!$C$25),IFERROR(-CUMIPMT('Calculadora'!$C$24/12,'Calculadora'!$C$25*12,'Calculadora'!$C$40,157,168,0),0),0))</f>
        <v>0</v>
      </c>
      <c r="E19" s="20">
        <f>IF(A19="","",IF(AND('Calculadora'!$C$40&gt;0,14&lt;='Calculadora'!$C$25),'Calculadora'!$C$41*12,0))</f>
        <v>0</v>
      </c>
      <c r="F19" s="20">
        <f>IF(A19="","",MAX(0,B19-C19-D19)*'Calculadora'!$C$19)</f>
        <v>0</v>
      </c>
      <c r="G19" s="20">
        <f>IF(A19="","",B19-C19-F19-E19)</f>
        <v>13569.933553460325</v>
      </c>
      <c r="H19" s="20">
        <f>IF(A19="","",N(H18)+G19)</f>
        <v>167566.6112264764</v>
      </c>
      <c r="I19" s="20">
        <f>IF(A19="","",IF(AND('Calculadora'!$C$40&gt;0,14&lt;='Calculadora'!$C$25),MAX(0,-FV('Calculadora'!$C$24/12,168,-'Calculadora'!$C$41,'Calculadora'!$C$40)),0))</f>
        <v>0</v>
      </c>
    </row>
    <row r="20">
      <c r="A20">
        <f>IF(15&lt;=IF('Calculadora'!$C$40&gt;0,MAX(10,MIN(40,'Calculadora'!$C$25)),20),15,"")</f>
        <v>15</v>
      </c>
      <c r="B20" s="20">
        <f>IF(A20="","",'Calculadora'!$C$8*(12-'Calculadora'!$C$18)*(1+'Calculadora'!$C$20)^(15-1))</f>
        <v>15833.745156754469</v>
      </c>
      <c r="C20" s="20">
        <f>IF(A20="","",('Calculadora'!$C$13*12+'Calculadora'!$C$14+'Calculadora'!$C$15+'Calculadora'!$C$16*12+'Calculadora'!$C$17)*(1+'Calculadora'!$C$20)^(15-1))</f>
        <v>1992.4129322249373</v>
      </c>
      <c r="D20" s="20">
        <f>IF(A20="","",IF(AND('Calculadora'!$C$40&gt;0,15&lt;='Calculadora'!$C$25),IFERROR(-CUMIPMT('Calculadora'!$C$24/12,'Calculadora'!$C$25*12,'Calculadora'!$C$40,169,180,0),0),0))</f>
        <v>0</v>
      </c>
      <c r="E20" s="20">
        <f>IF(A20="","",IF(AND('Calculadora'!$C$40&gt;0,15&lt;='Calculadora'!$C$25),'Calculadora'!$C$41*12,0))</f>
        <v>0</v>
      </c>
      <c r="F20" s="20">
        <f>IF(A20="","",MAX(0,B20-C20-D20)*'Calculadora'!$C$19)</f>
        <v>0</v>
      </c>
      <c r="G20" s="20">
        <f>IF(A20="","",B20-C20-F20-E20)</f>
        <v>13841.332224529531</v>
      </c>
      <c r="H20" s="20">
        <f>IF(A20="","",N(H19)+G20)</f>
        <v>181407.94345100594</v>
      </c>
      <c r="I20" s="20">
        <f>IF(A20="","",IF(AND('Calculadora'!$C$40&gt;0,15&lt;='Calculadora'!$C$25),MAX(0,-FV('Calculadora'!$C$24/12,180,-'Calculadora'!$C$41,'Calculadora'!$C$40)),0))</f>
        <v>0</v>
      </c>
    </row>
    <row r="21">
      <c r="A21">
        <f>IF(16&lt;=IF('Calculadora'!$C$40&gt;0,MAX(10,MIN(40,'Calculadora'!$C$25)),20),16,"")</f>
        <v>16</v>
      </c>
      <c r="B21" s="20">
        <f>IF(A21="","",'Calculadora'!$C$8*(12-'Calculadora'!$C$18)*(1+'Calculadora'!$C$20)^(16-1))</f>
        <v>16150.420059889559</v>
      </c>
      <c r="C21" s="20">
        <f>IF(A21="","",('Calculadora'!$C$13*12+'Calculadora'!$C$14+'Calculadora'!$C$15+'Calculadora'!$C$16*12+'Calculadora'!$C$17)*(1+'Calculadora'!$C$20)^(16-1))</f>
        <v>2032.2611908694362</v>
      </c>
      <c r="D21" s="20">
        <f>IF(A21="","",IF(AND('Calculadora'!$C$40&gt;0,16&lt;='Calculadora'!$C$25),IFERROR(-CUMIPMT('Calculadora'!$C$24/12,'Calculadora'!$C$25*12,'Calculadora'!$C$40,181,192,0),0),0))</f>
        <v>0</v>
      </c>
      <c r="E21" s="20">
        <f>IF(A21="","",IF(AND('Calculadora'!$C$40&gt;0,16&lt;='Calculadora'!$C$25),'Calculadora'!$C$41*12,0))</f>
        <v>0</v>
      </c>
      <c r="F21" s="20">
        <f>IF(A21="","",MAX(0,B21-C21-D21)*'Calculadora'!$C$19)</f>
        <v>0</v>
      </c>
      <c r="G21" s="20">
        <f>IF(A21="","",B21-C21-F21-E21)</f>
        <v>14118.158869020122</v>
      </c>
      <c r="H21" s="20">
        <f>IF(A21="","",N(H20)+G21)</f>
        <v>195526.10232002605</v>
      </c>
      <c r="I21" s="20">
        <f>IF(A21="","",IF(AND('Calculadora'!$C$40&gt;0,16&lt;='Calculadora'!$C$25),MAX(0,-FV('Calculadora'!$C$24/12,192,-'Calculadora'!$C$41,'Calculadora'!$C$40)),0))</f>
        <v>0</v>
      </c>
    </row>
    <row r="22">
      <c r="A22">
        <f>IF(17&lt;=IF('Calculadora'!$C$40&gt;0,MAX(10,MIN(40,'Calculadora'!$C$25)),20),17,"")</f>
        <v>17</v>
      </c>
      <c r="B22" s="20">
        <f>IF(A22="","",'Calculadora'!$C$8*(12-'Calculadora'!$C$18)*(1+'Calculadora'!$C$20)^(17-1))</f>
        <v>16473.42846108735</v>
      </c>
      <c r="C22" s="20">
        <f>IF(A22="","",('Calculadora'!$C$13*12+'Calculadora'!$C$14+'Calculadora'!$C$15+'Calculadora'!$C$16*12+'Calculadora'!$C$17)*(1+'Calculadora'!$C$20)^(17-1))</f>
        <v>2072.906414686825</v>
      </c>
      <c r="D22" s="20">
        <f>IF(A22="","",IF(AND('Calculadora'!$C$40&gt;0,17&lt;='Calculadora'!$C$25),IFERROR(-CUMIPMT('Calculadora'!$C$24/12,'Calculadora'!$C$25*12,'Calculadora'!$C$40,193,204,0),0),0))</f>
        <v>0</v>
      </c>
      <c r="E22" s="20">
        <f>IF(A22="","",IF(AND('Calculadora'!$C$40&gt;0,17&lt;='Calculadora'!$C$25),'Calculadora'!$C$41*12,0))</f>
        <v>0</v>
      </c>
      <c r="F22" s="20">
        <f>IF(A22="","",MAX(0,B22-C22-D22)*'Calculadora'!$C$19)</f>
        <v>0</v>
      </c>
      <c r="G22" s="20">
        <f>IF(A22="","",B22-C22-F22-E22)</f>
        <v>14400.522046400525</v>
      </c>
      <c r="H22" s="20">
        <f>IF(A22="","",N(H21)+G22)</f>
        <v>209926.62436642658</v>
      </c>
      <c r="I22" s="20">
        <f>IF(A22="","",IF(AND('Calculadora'!$C$40&gt;0,17&lt;='Calculadora'!$C$25),MAX(0,-FV('Calculadora'!$C$24/12,204,-'Calculadora'!$C$41,'Calculadora'!$C$40)),0))</f>
        <v>0</v>
      </c>
    </row>
    <row r="23">
      <c r="A23">
        <f>IF(18&lt;=IF('Calculadora'!$C$40&gt;0,MAX(10,MIN(40,'Calculadora'!$C$25)),20),18,"")</f>
        <v>18</v>
      </c>
      <c r="B23" s="20">
        <f>IF(A23="","",'Calculadora'!$C$8*(12-'Calculadora'!$C$18)*(1+'Calculadora'!$C$20)^(18-1))</f>
        <v>16802.897030309097</v>
      </c>
      <c r="C23" s="20">
        <f>IF(A23="","",('Calculadora'!$C$13*12+'Calculadora'!$C$14+'Calculadora'!$C$15+'Calculadora'!$C$16*12+'Calculadora'!$C$17)*(1+'Calculadora'!$C$20)^(18-1))</f>
        <v>2114.3645429805615</v>
      </c>
      <c r="D23" s="20">
        <f>IF(A23="","",IF(AND('Calculadora'!$C$40&gt;0,18&lt;='Calculadora'!$C$25),IFERROR(-CUMIPMT('Calculadora'!$C$24/12,'Calculadora'!$C$25*12,'Calculadora'!$C$40,205,216,0),0),0))</f>
        <v>0</v>
      </c>
      <c r="E23" s="20">
        <f>IF(A23="","",IF(AND('Calculadora'!$C$40&gt;0,18&lt;='Calculadora'!$C$25),'Calculadora'!$C$41*12,0))</f>
        <v>0</v>
      </c>
      <c r="F23" s="20">
        <f>IF(A23="","",MAX(0,B23-C23-D23)*'Calculadora'!$C$19)</f>
        <v>0</v>
      </c>
      <c r="G23" s="20">
        <f>IF(A23="","",B23-C23-F23-E23)</f>
        <v>14688.532487328535</v>
      </c>
      <c r="H23" s="20">
        <f>IF(A23="","",N(H22)+G23)</f>
        <v>224615.15685375512</v>
      </c>
      <c r="I23" s="20">
        <f>IF(A23="","",IF(AND('Calculadora'!$C$40&gt;0,18&lt;='Calculadora'!$C$25),MAX(0,-FV('Calculadora'!$C$24/12,216,-'Calculadora'!$C$41,'Calculadora'!$C$40)),0))</f>
        <v>0</v>
      </c>
    </row>
    <row r="24">
      <c r="A24">
        <f>IF(19&lt;=IF('Calculadora'!$C$40&gt;0,MAX(10,MIN(40,'Calculadora'!$C$25)),20),19,"")</f>
        <v>19</v>
      </c>
      <c r="B24" s="20">
        <f>IF(A24="","",'Calculadora'!$C$8*(12-'Calculadora'!$C$18)*(1+'Calculadora'!$C$20)^(19-1))</f>
        <v>17138.95497091528</v>
      </c>
      <c r="C24" s="20">
        <f>IF(A24="","",('Calculadora'!$C$13*12+'Calculadora'!$C$14+'Calculadora'!$C$15+'Calculadora'!$C$16*12+'Calculadora'!$C$17)*(1+'Calculadora'!$C$20)^(19-1))</f>
        <v>2156.651833840173</v>
      </c>
      <c r="D24" s="20">
        <f>IF(A24="","",IF(AND('Calculadora'!$C$40&gt;0,19&lt;='Calculadora'!$C$25),IFERROR(-CUMIPMT('Calculadora'!$C$24/12,'Calculadora'!$C$25*12,'Calculadora'!$C$40,217,228,0),0),0))</f>
        <v>0</v>
      </c>
      <c r="E24" s="20">
        <f>IF(A24="","",IF(AND('Calculadora'!$C$40&gt;0,19&lt;='Calculadora'!$C$25),'Calculadora'!$C$41*12,0))</f>
        <v>0</v>
      </c>
      <c r="F24" s="20">
        <f>IF(A24="","",MAX(0,B24-C24-D24)*'Calculadora'!$C$19)</f>
        <v>0</v>
      </c>
      <c r="G24" s="20">
        <f>IF(A24="","",B24-C24-F24-E24)</f>
        <v>14982.303137075109</v>
      </c>
      <c r="H24" s="20">
        <f>IF(A24="","",N(H23)+G24)</f>
        <v>239597.45999083022</v>
      </c>
      <c r="I24" s="20">
        <f>IF(A24="","",IF(AND('Calculadora'!$C$40&gt;0,19&lt;='Calculadora'!$C$25),MAX(0,-FV('Calculadora'!$C$24/12,228,-'Calculadora'!$C$41,'Calculadora'!$C$40)),0))</f>
        <v>0</v>
      </c>
    </row>
    <row r="25">
      <c r="A25">
        <f>IF(20&lt;=IF('Calculadora'!$C$40&gt;0,MAX(10,MIN(40,'Calculadora'!$C$25)),20),20,"")</f>
        <v>20</v>
      </c>
      <c r="B25" s="20">
        <f>IF(A25="","",'Calculadora'!$C$8*(12-'Calculadora'!$C$18)*(1+'Calculadora'!$C$20)^(20-1))</f>
        <v>17481.734070333587</v>
      </c>
      <c r="C25" s="20">
        <f>IF(A25="","",('Calculadora'!$C$13*12+'Calculadora'!$C$14+'Calculadora'!$C$15+'Calculadora'!$C$16*12+'Calculadora'!$C$17)*(1+'Calculadora'!$C$20)^(20-1))</f>
        <v>2199.7848705169763</v>
      </c>
      <c r="D25" s="20">
        <f>IF(A25="","",IF(AND('Calculadora'!$C$40&gt;0,20&lt;='Calculadora'!$C$25),IFERROR(-CUMIPMT('Calculadora'!$C$24/12,'Calculadora'!$C$25*12,'Calculadora'!$C$40,229,240,0),0),0))</f>
        <v>0</v>
      </c>
      <c r="E25" s="20">
        <f>IF(A25="","",IF(AND('Calculadora'!$C$40&gt;0,20&lt;='Calculadora'!$C$25),'Calculadora'!$C$41*12,0))</f>
        <v>0</v>
      </c>
      <c r="F25" s="20">
        <f>IF(A25="","",MAX(0,B25-C25-D25)*'Calculadora'!$C$19)</f>
        <v>0</v>
      </c>
      <c r="G25" s="20">
        <f>IF(A25="","",B25-C25-F25-E25)</f>
        <v>15281.94919981661</v>
      </c>
      <c r="H25" s="20">
        <f>IF(A25="","",N(H24)+G25)</f>
        <v>254879.40919064684</v>
      </c>
      <c r="I25" s="20">
        <f>IF(A25="","",IF(AND('Calculadora'!$C$40&gt;0,20&lt;='Calculadora'!$C$25),MAX(0,-FV('Calculadora'!$C$24/12,240,-'Calculadora'!$C$41,'Calculadora'!$C$40)),0))</f>
        <v>0</v>
      </c>
    </row>
    <row r="26">
      <c r="A26" t="str">
        <f>IF(21&lt;=IF('Calculadora'!$C$40&gt;0,MAX(10,MIN(40,'Calculadora'!$C$25)),20),21,"")</f>
        <v/>
      </c>
      <c r="B26" s="20" t="str">
        <f>IF(A26="","",'Calculadora'!$C$8*(12-'Calculadora'!$C$18)*(1+'Calculadora'!$C$20)^(21-1))</f>
        <v/>
      </c>
      <c r="C26" s="20" t="str">
        <f>IF(A26="","",('Calculadora'!$C$13*12+'Calculadora'!$C$14+'Calculadora'!$C$15+'Calculadora'!$C$16*12+'Calculadora'!$C$17)*(1+'Calculadora'!$C$20)^(21-1))</f>
        <v/>
      </c>
      <c r="D26" s="20" t="str">
        <f>IF(A26="","",IF(AND('Calculadora'!$C$40&gt;0,21&lt;='Calculadora'!$C$25),IFERROR(-CUMIPMT('Calculadora'!$C$24/12,'Calculadora'!$C$25*12,'Calculadora'!$C$40,241,252,0),0),0))</f>
        <v/>
      </c>
      <c r="E26" s="20" t="str">
        <f>IF(A26="","",IF(AND('Calculadora'!$C$40&gt;0,21&lt;='Calculadora'!$C$25),'Calculadora'!$C$41*12,0))</f>
        <v/>
      </c>
      <c r="F26" s="20" t="str">
        <f>IF(A26="","",MAX(0,B26-C26-D26)*'Calculadora'!$C$19)</f>
        <v/>
      </c>
      <c r="G26" s="20" t="str">
        <f>IF(A26="","",B26-C26-F26-E26)</f>
        <v/>
      </c>
      <c r="H26" s="20" t="str">
        <f>IF(A26="","",N(H25)+G26)</f>
        <v/>
      </c>
      <c r="I26" s="20" t="str">
        <f>IF(A26="","",IF(AND('Calculadora'!$C$40&gt;0,21&lt;='Calculadora'!$C$25),MAX(0,-FV('Calculadora'!$C$24/12,252,-'Calculadora'!$C$41,'Calculadora'!$C$40)),0))</f>
        <v/>
      </c>
    </row>
    <row r="27">
      <c r="A27" t="str">
        <f>IF(22&lt;=IF('Calculadora'!$C$40&gt;0,MAX(10,MIN(40,'Calculadora'!$C$25)),20),22,"")</f>
        <v/>
      </c>
      <c r="B27" s="20" t="str">
        <f>IF(A27="","",'Calculadora'!$C$8*(12-'Calculadora'!$C$18)*(1+'Calculadora'!$C$20)^(22-1))</f>
        <v/>
      </c>
      <c r="C27" s="20" t="str">
        <f>IF(A27="","",('Calculadora'!$C$13*12+'Calculadora'!$C$14+'Calculadora'!$C$15+'Calculadora'!$C$16*12+'Calculadora'!$C$17)*(1+'Calculadora'!$C$20)^(22-1))</f>
        <v/>
      </c>
      <c r="D27" s="20" t="str">
        <f>IF(A27="","",IF(AND('Calculadora'!$C$40&gt;0,22&lt;='Calculadora'!$C$25),IFERROR(-CUMIPMT('Calculadora'!$C$24/12,'Calculadora'!$C$25*12,'Calculadora'!$C$40,253,264,0),0),0))</f>
        <v/>
      </c>
      <c r="E27" s="20" t="str">
        <f>IF(A27="","",IF(AND('Calculadora'!$C$40&gt;0,22&lt;='Calculadora'!$C$25),'Calculadora'!$C$41*12,0))</f>
        <v/>
      </c>
      <c r="F27" s="20" t="str">
        <f>IF(A27="","",MAX(0,B27-C27-D27)*'Calculadora'!$C$19)</f>
        <v/>
      </c>
      <c r="G27" s="20" t="str">
        <f>IF(A27="","",B27-C27-F27-E27)</f>
        <v/>
      </c>
      <c r="H27" s="20" t="str">
        <f>IF(A27="","",N(H26)+G27)</f>
        <v/>
      </c>
      <c r="I27" s="20" t="str">
        <f>IF(A27="","",IF(AND('Calculadora'!$C$40&gt;0,22&lt;='Calculadora'!$C$25),MAX(0,-FV('Calculadora'!$C$24/12,264,-'Calculadora'!$C$41,'Calculadora'!$C$40)),0))</f>
        <v/>
      </c>
    </row>
    <row r="28">
      <c r="A28" t="str">
        <f>IF(23&lt;=IF('Calculadora'!$C$40&gt;0,MAX(10,MIN(40,'Calculadora'!$C$25)),20),23,"")</f>
        <v/>
      </c>
      <c r="B28" s="20" t="str">
        <f>IF(A28="","",'Calculadora'!$C$8*(12-'Calculadora'!$C$18)*(1+'Calculadora'!$C$20)^(23-1))</f>
        <v/>
      </c>
      <c r="C28" s="20" t="str">
        <f>IF(A28="","",('Calculadora'!$C$13*12+'Calculadora'!$C$14+'Calculadora'!$C$15+'Calculadora'!$C$16*12+'Calculadora'!$C$17)*(1+'Calculadora'!$C$20)^(23-1))</f>
        <v/>
      </c>
      <c r="D28" s="20" t="str">
        <f>IF(A28="","",IF(AND('Calculadora'!$C$40&gt;0,23&lt;='Calculadora'!$C$25),IFERROR(-CUMIPMT('Calculadora'!$C$24/12,'Calculadora'!$C$25*12,'Calculadora'!$C$40,265,276,0),0),0))</f>
        <v/>
      </c>
      <c r="E28" s="20" t="str">
        <f>IF(A28="","",IF(AND('Calculadora'!$C$40&gt;0,23&lt;='Calculadora'!$C$25),'Calculadora'!$C$41*12,0))</f>
        <v/>
      </c>
      <c r="F28" s="20" t="str">
        <f>IF(A28="","",MAX(0,B28-C28-D28)*'Calculadora'!$C$19)</f>
        <v/>
      </c>
      <c r="G28" s="20" t="str">
        <f>IF(A28="","",B28-C28-F28-E28)</f>
        <v/>
      </c>
      <c r="H28" s="20" t="str">
        <f>IF(A28="","",N(H27)+G28)</f>
        <v/>
      </c>
      <c r="I28" s="20" t="str">
        <f>IF(A28="","",IF(AND('Calculadora'!$C$40&gt;0,23&lt;='Calculadora'!$C$25),MAX(0,-FV('Calculadora'!$C$24/12,276,-'Calculadora'!$C$41,'Calculadora'!$C$40)),0))</f>
        <v/>
      </c>
    </row>
    <row r="29">
      <c r="A29" t="str">
        <f>IF(24&lt;=IF('Calculadora'!$C$40&gt;0,MAX(10,MIN(40,'Calculadora'!$C$25)),20),24,"")</f>
        <v/>
      </c>
      <c r="B29" s="20" t="str">
        <f>IF(A29="","",'Calculadora'!$C$8*(12-'Calculadora'!$C$18)*(1+'Calculadora'!$C$20)^(24-1))</f>
        <v/>
      </c>
      <c r="C29" s="20" t="str">
        <f>IF(A29="","",('Calculadora'!$C$13*12+'Calculadora'!$C$14+'Calculadora'!$C$15+'Calculadora'!$C$16*12+'Calculadora'!$C$17)*(1+'Calculadora'!$C$20)^(24-1))</f>
        <v/>
      </c>
      <c r="D29" s="20" t="str">
        <f>IF(A29="","",IF(AND('Calculadora'!$C$40&gt;0,24&lt;='Calculadora'!$C$25),IFERROR(-CUMIPMT('Calculadora'!$C$24/12,'Calculadora'!$C$25*12,'Calculadora'!$C$40,277,288,0),0),0))</f>
        <v/>
      </c>
      <c r="E29" s="20" t="str">
        <f>IF(A29="","",IF(AND('Calculadora'!$C$40&gt;0,24&lt;='Calculadora'!$C$25),'Calculadora'!$C$41*12,0))</f>
        <v/>
      </c>
      <c r="F29" s="20" t="str">
        <f>IF(A29="","",MAX(0,B29-C29-D29)*'Calculadora'!$C$19)</f>
        <v/>
      </c>
      <c r="G29" s="20" t="str">
        <f>IF(A29="","",B29-C29-F29-E29)</f>
        <v/>
      </c>
      <c r="H29" s="20" t="str">
        <f>IF(A29="","",N(H28)+G29)</f>
        <v/>
      </c>
      <c r="I29" s="20" t="str">
        <f>IF(A29="","",IF(AND('Calculadora'!$C$40&gt;0,24&lt;='Calculadora'!$C$25),MAX(0,-FV('Calculadora'!$C$24/12,288,-'Calculadora'!$C$41,'Calculadora'!$C$40)),0))</f>
        <v/>
      </c>
    </row>
    <row r="30">
      <c r="A30" t="str">
        <f>IF(25&lt;=IF('Calculadora'!$C$40&gt;0,MAX(10,MIN(40,'Calculadora'!$C$25)),20),25,"")</f>
        <v/>
      </c>
      <c r="B30" s="20" t="str">
        <f>IF(A30="","",'Calculadora'!$C$8*(12-'Calculadora'!$C$18)*(1+'Calculadora'!$C$20)^(25-1))</f>
        <v/>
      </c>
      <c r="C30" s="20" t="str">
        <f>IF(A30="","",('Calculadora'!$C$13*12+'Calculadora'!$C$14+'Calculadora'!$C$15+'Calculadora'!$C$16*12+'Calculadora'!$C$17)*(1+'Calculadora'!$C$20)^(25-1))</f>
        <v/>
      </c>
      <c r="D30" s="20" t="str">
        <f>IF(A30="","",IF(AND('Calculadora'!$C$40&gt;0,25&lt;='Calculadora'!$C$25),IFERROR(-CUMIPMT('Calculadora'!$C$24/12,'Calculadora'!$C$25*12,'Calculadora'!$C$40,289,300,0),0),0))</f>
        <v/>
      </c>
      <c r="E30" s="20" t="str">
        <f>IF(A30="","",IF(AND('Calculadora'!$C$40&gt;0,25&lt;='Calculadora'!$C$25),'Calculadora'!$C$41*12,0))</f>
        <v/>
      </c>
      <c r="F30" s="20" t="str">
        <f>IF(A30="","",MAX(0,B30-C30-D30)*'Calculadora'!$C$19)</f>
        <v/>
      </c>
      <c r="G30" s="20" t="str">
        <f>IF(A30="","",B30-C30-F30-E30)</f>
        <v/>
      </c>
      <c r="H30" s="20" t="str">
        <f>IF(A30="","",N(H29)+G30)</f>
        <v/>
      </c>
      <c r="I30" s="20" t="str">
        <f>IF(A30="","",IF(AND('Calculadora'!$C$40&gt;0,25&lt;='Calculadora'!$C$25),MAX(0,-FV('Calculadora'!$C$24/12,300,-'Calculadora'!$C$41,'Calculadora'!$C$40)),0))</f>
        <v/>
      </c>
    </row>
    <row r="31">
      <c r="A31" t="str">
        <f>IF(26&lt;=IF('Calculadora'!$C$40&gt;0,MAX(10,MIN(40,'Calculadora'!$C$25)),20),26,"")</f>
        <v/>
      </c>
      <c r="B31" s="20" t="str">
        <f>IF(A31="","",'Calculadora'!$C$8*(12-'Calculadora'!$C$18)*(1+'Calculadora'!$C$20)^(26-1))</f>
        <v/>
      </c>
      <c r="C31" s="20" t="str">
        <f>IF(A31="","",('Calculadora'!$C$13*12+'Calculadora'!$C$14+'Calculadora'!$C$15+'Calculadora'!$C$16*12+'Calculadora'!$C$17)*(1+'Calculadora'!$C$20)^(26-1))</f>
        <v/>
      </c>
      <c r="D31" s="20" t="str">
        <f>IF(A31="","",IF(AND('Calculadora'!$C$40&gt;0,26&lt;='Calculadora'!$C$25),IFERROR(-CUMIPMT('Calculadora'!$C$24/12,'Calculadora'!$C$25*12,'Calculadora'!$C$40,301,312,0),0),0))</f>
        <v/>
      </c>
      <c r="E31" s="20" t="str">
        <f>IF(A31="","",IF(AND('Calculadora'!$C$40&gt;0,26&lt;='Calculadora'!$C$25),'Calculadora'!$C$41*12,0))</f>
        <v/>
      </c>
      <c r="F31" s="20" t="str">
        <f>IF(A31="","",MAX(0,B31-C31-D31)*'Calculadora'!$C$19)</f>
        <v/>
      </c>
      <c r="G31" s="20" t="str">
        <f>IF(A31="","",B31-C31-F31-E31)</f>
        <v/>
      </c>
      <c r="H31" s="20" t="str">
        <f>IF(A31="","",N(H30)+G31)</f>
        <v/>
      </c>
      <c r="I31" s="20" t="str">
        <f>IF(A31="","",IF(AND('Calculadora'!$C$40&gt;0,26&lt;='Calculadora'!$C$25),MAX(0,-FV('Calculadora'!$C$24/12,312,-'Calculadora'!$C$41,'Calculadora'!$C$40)),0))</f>
        <v/>
      </c>
    </row>
    <row r="32">
      <c r="A32" t="str">
        <f>IF(27&lt;=IF('Calculadora'!$C$40&gt;0,MAX(10,MIN(40,'Calculadora'!$C$25)),20),27,"")</f>
        <v/>
      </c>
      <c r="B32" s="20" t="str">
        <f>IF(A32="","",'Calculadora'!$C$8*(12-'Calculadora'!$C$18)*(1+'Calculadora'!$C$20)^(27-1))</f>
        <v/>
      </c>
      <c r="C32" s="20" t="str">
        <f>IF(A32="","",('Calculadora'!$C$13*12+'Calculadora'!$C$14+'Calculadora'!$C$15+'Calculadora'!$C$16*12+'Calculadora'!$C$17)*(1+'Calculadora'!$C$20)^(27-1))</f>
        <v/>
      </c>
      <c r="D32" s="20" t="str">
        <f>IF(A32="","",IF(AND('Calculadora'!$C$40&gt;0,27&lt;='Calculadora'!$C$25),IFERROR(-CUMIPMT('Calculadora'!$C$24/12,'Calculadora'!$C$25*12,'Calculadora'!$C$40,313,324,0),0),0))</f>
        <v/>
      </c>
      <c r="E32" s="20" t="str">
        <f>IF(A32="","",IF(AND('Calculadora'!$C$40&gt;0,27&lt;='Calculadora'!$C$25),'Calculadora'!$C$41*12,0))</f>
        <v/>
      </c>
      <c r="F32" s="20" t="str">
        <f>IF(A32="","",MAX(0,B32-C32-D32)*'Calculadora'!$C$19)</f>
        <v/>
      </c>
      <c r="G32" s="20" t="str">
        <f>IF(A32="","",B32-C32-F32-E32)</f>
        <v/>
      </c>
      <c r="H32" s="20" t="str">
        <f>IF(A32="","",N(H31)+G32)</f>
        <v/>
      </c>
      <c r="I32" s="20" t="str">
        <f>IF(A32="","",IF(AND('Calculadora'!$C$40&gt;0,27&lt;='Calculadora'!$C$25),MAX(0,-FV('Calculadora'!$C$24/12,324,-'Calculadora'!$C$41,'Calculadora'!$C$40)),0))</f>
        <v/>
      </c>
    </row>
    <row r="33">
      <c r="A33" t="str">
        <f>IF(28&lt;=IF('Calculadora'!$C$40&gt;0,MAX(10,MIN(40,'Calculadora'!$C$25)),20),28,"")</f>
        <v/>
      </c>
      <c r="B33" s="20" t="str">
        <f>IF(A33="","",'Calculadora'!$C$8*(12-'Calculadora'!$C$18)*(1+'Calculadora'!$C$20)^(28-1))</f>
        <v/>
      </c>
      <c r="C33" s="20" t="str">
        <f>IF(A33="","",('Calculadora'!$C$13*12+'Calculadora'!$C$14+'Calculadora'!$C$15+'Calculadora'!$C$16*12+'Calculadora'!$C$17)*(1+'Calculadora'!$C$20)^(28-1))</f>
        <v/>
      </c>
      <c r="D33" s="20" t="str">
        <f>IF(A33="","",IF(AND('Calculadora'!$C$40&gt;0,28&lt;='Calculadora'!$C$25),IFERROR(-CUMIPMT('Calculadora'!$C$24/12,'Calculadora'!$C$25*12,'Calculadora'!$C$40,325,336,0),0),0))</f>
        <v/>
      </c>
      <c r="E33" s="20" t="str">
        <f>IF(A33="","",IF(AND('Calculadora'!$C$40&gt;0,28&lt;='Calculadora'!$C$25),'Calculadora'!$C$41*12,0))</f>
        <v/>
      </c>
      <c r="F33" s="20" t="str">
        <f>IF(A33="","",MAX(0,B33-C33-D33)*'Calculadora'!$C$19)</f>
        <v/>
      </c>
      <c r="G33" s="20" t="str">
        <f>IF(A33="","",B33-C33-F33-E33)</f>
        <v/>
      </c>
      <c r="H33" s="20" t="str">
        <f>IF(A33="","",N(H32)+G33)</f>
        <v/>
      </c>
      <c r="I33" s="20" t="str">
        <f>IF(A33="","",IF(AND('Calculadora'!$C$40&gt;0,28&lt;='Calculadora'!$C$25),MAX(0,-FV('Calculadora'!$C$24/12,336,-'Calculadora'!$C$41,'Calculadora'!$C$40)),0))</f>
        <v/>
      </c>
    </row>
    <row r="34">
      <c r="A34" t="str">
        <f>IF(29&lt;=IF('Calculadora'!$C$40&gt;0,MAX(10,MIN(40,'Calculadora'!$C$25)),20),29,"")</f>
        <v/>
      </c>
      <c r="B34" s="20" t="str">
        <f>IF(A34="","",'Calculadora'!$C$8*(12-'Calculadora'!$C$18)*(1+'Calculadora'!$C$20)^(29-1))</f>
        <v/>
      </c>
      <c r="C34" s="20" t="str">
        <f>IF(A34="","",('Calculadora'!$C$13*12+'Calculadora'!$C$14+'Calculadora'!$C$15+'Calculadora'!$C$16*12+'Calculadora'!$C$17)*(1+'Calculadora'!$C$20)^(29-1))</f>
        <v/>
      </c>
      <c r="D34" s="20" t="str">
        <f>IF(A34="","",IF(AND('Calculadora'!$C$40&gt;0,29&lt;='Calculadora'!$C$25),IFERROR(-CUMIPMT('Calculadora'!$C$24/12,'Calculadora'!$C$25*12,'Calculadora'!$C$40,337,348,0),0),0))</f>
        <v/>
      </c>
      <c r="E34" s="20" t="str">
        <f>IF(A34="","",IF(AND('Calculadora'!$C$40&gt;0,29&lt;='Calculadora'!$C$25),'Calculadora'!$C$41*12,0))</f>
        <v/>
      </c>
      <c r="F34" s="20" t="str">
        <f>IF(A34="","",MAX(0,B34-C34-D34)*'Calculadora'!$C$19)</f>
        <v/>
      </c>
      <c r="G34" s="20" t="str">
        <f>IF(A34="","",B34-C34-F34-E34)</f>
        <v/>
      </c>
      <c r="H34" s="20" t="str">
        <f>IF(A34="","",N(H33)+G34)</f>
        <v/>
      </c>
      <c r="I34" s="20" t="str">
        <f>IF(A34="","",IF(AND('Calculadora'!$C$40&gt;0,29&lt;='Calculadora'!$C$25),MAX(0,-FV('Calculadora'!$C$24/12,348,-'Calculadora'!$C$41,'Calculadora'!$C$40)),0))</f>
        <v/>
      </c>
    </row>
    <row r="35">
      <c r="A35" t="str">
        <f>IF(30&lt;=IF('Calculadora'!$C$40&gt;0,MAX(10,MIN(40,'Calculadora'!$C$25)),20),30,"")</f>
        <v/>
      </c>
      <c r="B35" s="20" t="str">
        <f>IF(A35="","",'Calculadora'!$C$8*(12-'Calculadora'!$C$18)*(1+'Calculadora'!$C$20)^(30-1))</f>
        <v/>
      </c>
      <c r="C35" s="20" t="str">
        <f>IF(A35="","",('Calculadora'!$C$13*12+'Calculadora'!$C$14+'Calculadora'!$C$15+'Calculadora'!$C$16*12+'Calculadora'!$C$17)*(1+'Calculadora'!$C$20)^(30-1))</f>
        <v/>
      </c>
      <c r="D35" s="20" t="str">
        <f>IF(A35="","",IF(AND('Calculadora'!$C$40&gt;0,30&lt;='Calculadora'!$C$25),IFERROR(-CUMIPMT('Calculadora'!$C$24/12,'Calculadora'!$C$25*12,'Calculadora'!$C$40,349,360,0),0),0))</f>
        <v/>
      </c>
      <c r="E35" s="20" t="str">
        <f>IF(A35="","",IF(AND('Calculadora'!$C$40&gt;0,30&lt;='Calculadora'!$C$25),'Calculadora'!$C$41*12,0))</f>
        <v/>
      </c>
      <c r="F35" s="20" t="str">
        <f>IF(A35="","",MAX(0,B35-C35-D35)*'Calculadora'!$C$19)</f>
        <v/>
      </c>
      <c r="G35" s="20" t="str">
        <f>IF(A35="","",B35-C35-F35-E35)</f>
        <v/>
      </c>
      <c r="H35" s="20" t="str">
        <f>IF(A35="","",N(H34)+G35)</f>
        <v/>
      </c>
      <c r="I35" s="20" t="str">
        <f>IF(A35="","",IF(AND('Calculadora'!$C$40&gt;0,30&lt;='Calculadora'!$C$25),MAX(0,-FV('Calculadora'!$C$24/12,360,-'Calculadora'!$C$41,'Calculadora'!$C$40)),0))</f>
        <v/>
      </c>
    </row>
    <row r="36">
      <c r="A36" t="str">
        <f>IF(31&lt;=IF('Calculadora'!$C$40&gt;0,MAX(10,MIN(40,'Calculadora'!$C$25)),20),31,"")</f>
        <v/>
      </c>
      <c r="B36" s="20" t="str">
        <f>IF(A36="","",'Calculadora'!$C$8*(12-'Calculadora'!$C$18)*(1+'Calculadora'!$C$20)^(31-1))</f>
        <v/>
      </c>
      <c r="C36" s="20" t="str">
        <f>IF(A36="","",('Calculadora'!$C$13*12+'Calculadora'!$C$14+'Calculadora'!$C$15+'Calculadora'!$C$16*12+'Calculadora'!$C$17)*(1+'Calculadora'!$C$20)^(31-1))</f>
        <v/>
      </c>
      <c r="D36" s="20" t="str">
        <f>IF(A36="","",IF(AND('Calculadora'!$C$40&gt;0,31&lt;='Calculadora'!$C$25),IFERROR(-CUMIPMT('Calculadora'!$C$24/12,'Calculadora'!$C$25*12,'Calculadora'!$C$40,361,372,0),0),0))</f>
        <v/>
      </c>
      <c r="E36" s="20" t="str">
        <f>IF(A36="","",IF(AND('Calculadora'!$C$40&gt;0,31&lt;='Calculadora'!$C$25),'Calculadora'!$C$41*12,0))</f>
        <v/>
      </c>
      <c r="F36" s="20" t="str">
        <f>IF(A36="","",MAX(0,B36-C36-D36)*'Calculadora'!$C$19)</f>
        <v/>
      </c>
      <c r="G36" s="20" t="str">
        <f>IF(A36="","",B36-C36-F36-E36)</f>
        <v/>
      </c>
      <c r="H36" s="20" t="str">
        <f>IF(A36="","",N(H35)+G36)</f>
        <v/>
      </c>
      <c r="I36" s="20" t="str">
        <f>IF(A36="","",IF(AND('Calculadora'!$C$40&gt;0,31&lt;='Calculadora'!$C$25),MAX(0,-FV('Calculadora'!$C$24/12,372,-'Calculadora'!$C$41,'Calculadora'!$C$40)),0))</f>
        <v/>
      </c>
    </row>
    <row r="37">
      <c r="A37" t="str">
        <f>IF(32&lt;=IF('Calculadora'!$C$40&gt;0,MAX(10,MIN(40,'Calculadora'!$C$25)),20),32,"")</f>
        <v/>
      </c>
      <c r="B37" s="20" t="str">
        <f>IF(A37="","",'Calculadora'!$C$8*(12-'Calculadora'!$C$18)*(1+'Calculadora'!$C$20)^(32-1))</f>
        <v/>
      </c>
      <c r="C37" s="20" t="str">
        <f>IF(A37="","",('Calculadora'!$C$13*12+'Calculadora'!$C$14+'Calculadora'!$C$15+'Calculadora'!$C$16*12+'Calculadora'!$C$17)*(1+'Calculadora'!$C$20)^(32-1))</f>
        <v/>
      </c>
      <c r="D37" s="20" t="str">
        <f>IF(A37="","",IF(AND('Calculadora'!$C$40&gt;0,32&lt;='Calculadora'!$C$25),IFERROR(-CUMIPMT('Calculadora'!$C$24/12,'Calculadora'!$C$25*12,'Calculadora'!$C$40,373,384,0),0),0))</f>
        <v/>
      </c>
      <c r="E37" s="20" t="str">
        <f>IF(A37="","",IF(AND('Calculadora'!$C$40&gt;0,32&lt;='Calculadora'!$C$25),'Calculadora'!$C$41*12,0))</f>
        <v/>
      </c>
      <c r="F37" s="20" t="str">
        <f>IF(A37="","",MAX(0,B37-C37-D37)*'Calculadora'!$C$19)</f>
        <v/>
      </c>
      <c r="G37" s="20" t="str">
        <f>IF(A37="","",B37-C37-F37-E37)</f>
        <v/>
      </c>
      <c r="H37" s="20" t="str">
        <f>IF(A37="","",N(H36)+G37)</f>
        <v/>
      </c>
      <c r="I37" s="20" t="str">
        <f>IF(A37="","",IF(AND('Calculadora'!$C$40&gt;0,32&lt;='Calculadora'!$C$25),MAX(0,-FV('Calculadora'!$C$24/12,384,-'Calculadora'!$C$41,'Calculadora'!$C$40)),0))</f>
        <v/>
      </c>
    </row>
    <row r="38">
      <c r="A38" t="str">
        <f>IF(33&lt;=IF('Calculadora'!$C$40&gt;0,MAX(10,MIN(40,'Calculadora'!$C$25)),20),33,"")</f>
        <v/>
      </c>
      <c r="B38" s="20" t="str">
        <f>IF(A38="","",'Calculadora'!$C$8*(12-'Calculadora'!$C$18)*(1+'Calculadora'!$C$20)^(33-1))</f>
        <v/>
      </c>
      <c r="C38" s="20" t="str">
        <f>IF(A38="","",('Calculadora'!$C$13*12+'Calculadora'!$C$14+'Calculadora'!$C$15+'Calculadora'!$C$16*12+'Calculadora'!$C$17)*(1+'Calculadora'!$C$20)^(33-1))</f>
        <v/>
      </c>
      <c r="D38" s="20" t="str">
        <f>IF(A38="","",IF(AND('Calculadora'!$C$40&gt;0,33&lt;='Calculadora'!$C$25),IFERROR(-CUMIPMT('Calculadora'!$C$24/12,'Calculadora'!$C$25*12,'Calculadora'!$C$40,385,396,0),0),0))</f>
        <v/>
      </c>
      <c r="E38" s="20" t="str">
        <f>IF(A38="","",IF(AND('Calculadora'!$C$40&gt;0,33&lt;='Calculadora'!$C$25),'Calculadora'!$C$41*12,0))</f>
        <v/>
      </c>
      <c r="F38" s="20" t="str">
        <f>IF(A38="","",MAX(0,B38-C38-D38)*'Calculadora'!$C$19)</f>
        <v/>
      </c>
      <c r="G38" s="20" t="str">
        <f>IF(A38="","",B38-C38-F38-E38)</f>
        <v/>
      </c>
      <c r="H38" s="20" t="str">
        <f>IF(A38="","",N(H37)+G38)</f>
        <v/>
      </c>
      <c r="I38" s="20" t="str">
        <f>IF(A38="","",IF(AND('Calculadora'!$C$40&gt;0,33&lt;='Calculadora'!$C$25),MAX(0,-FV('Calculadora'!$C$24/12,396,-'Calculadora'!$C$41,'Calculadora'!$C$40)),0))</f>
        <v/>
      </c>
    </row>
    <row r="39">
      <c r="A39" t="str">
        <f>IF(34&lt;=IF('Calculadora'!$C$40&gt;0,MAX(10,MIN(40,'Calculadora'!$C$25)),20),34,"")</f>
        <v/>
      </c>
      <c r="B39" s="20" t="str">
        <f>IF(A39="","",'Calculadora'!$C$8*(12-'Calculadora'!$C$18)*(1+'Calculadora'!$C$20)^(34-1))</f>
        <v/>
      </c>
      <c r="C39" s="20" t="str">
        <f>IF(A39="","",('Calculadora'!$C$13*12+'Calculadora'!$C$14+'Calculadora'!$C$15+'Calculadora'!$C$16*12+'Calculadora'!$C$17)*(1+'Calculadora'!$C$20)^(34-1))</f>
        <v/>
      </c>
      <c r="D39" s="20" t="str">
        <f>IF(A39="","",IF(AND('Calculadora'!$C$40&gt;0,34&lt;='Calculadora'!$C$25),IFERROR(-CUMIPMT('Calculadora'!$C$24/12,'Calculadora'!$C$25*12,'Calculadora'!$C$40,397,408,0),0),0))</f>
        <v/>
      </c>
      <c r="E39" s="20" t="str">
        <f>IF(A39="","",IF(AND('Calculadora'!$C$40&gt;0,34&lt;='Calculadora'!$C$25),'Calculadora'!$C$41*12,0))</f>
        <v/>
      </c>
      <c r="F39" s="20" t="str">
        <f>IF(A39="","",MAX(0,B39-C39-D39)*'Calculadora'!$C$19)</f>
        <v/>
      </c>
      <c r="G39" s="20" t="str">
        <f>IF(A39="","",B39-C39-F39-E39)</f>
        <v/>
      </c>
      <c r="H39" s="20" t="str">
        <f>IF(A39="","",N(H38)+G39)</f>
        <v/>
      </c>
      <c r="I39" s="20" t="str">
        <f>IF(A39="","",IF(AND('Calculadora'!$C$40&gt;0,34&lt;='Calculadora'!$C$25),MAX(0,-FV('Calculadora'!$C$24/12,408,-'Calculadora'!$C$41,'Calculadora'!$C$40)),0))</f>
        <v/>
      </c>
    </row>
    <row r="40">
      <c r="A40" t="str">
        <f>IF(35&lt;=IF('Calculadora'!$C$40&gt;0,MAX(10,MIN(40,'Calculadora'!$C$25)),20),35,"")</f>
        <v/>
      </c>
      <c r="B40" s="20" t="str">
        <f>IF(A40="","",'Calculadora'!$C$8*(12-'Calculadora'!$C$18)*(1+'Calculadora'!$C$20)^(35-1))</f>
        <v/>
      </c>
      <c r="C40" s="20" t="str">
        <f>IF(A40="","",('Calculadora'!$C$13*12+'Calculadora'!$C$14+'Calculadora'!$C$15+'Calculadora'!$C$16*12+'Calculadora'!$C$17)*(1+'Calculadora'!$C$20)^(35-1))</f>
        <v/>
      </c>
      <c r="D40" s="20" t="str">
        <f>IF(A40="","",IF(AND('Calculadora'!$C$40&gt;0,35&lt;='Calculadora'!$C$25),IFERROR(-CUMIPMT('Calculadora'!$C$24/12,'Calculadora'!$C$25*12,'Calculadora'!$C$40,409,420,0),0),0))</f>
        <v/>
      </c>
      <c r="E40" s="20" t="str">
        <f>IF(A40="","",IF(AND('Calculadora'!$C$40&gt;0,35&lt;='Calculadora'!$C$25),'Calculadora'!$C$41*12,0))</f>
        <v/>
      </c>
      <c r="F40" s="20" t="str">
        <f>IF(A40="","",MAX(0,B40-C40-D40)*'Calculadora'!$C$19)</f>
        <v/>
      </c>
      <c r="G40" s="20" t="str">
        <f>IF(A40="","",B40-C40-F40-E40)</f>
        <v/>
      </c>
      <c r="H40" s="20" t="str">
        <f>IF(A40="","",N(H39)+G40)</f>
        <v/>
      </c>
      <c r="I40" s="20" t="str">
        <f>IF(A40="","",IF(AND('Calculadora'!$C$40&gt;0,35&lt;='Calculadora'!$C$25),MAX(0,-FV('Calculadora'!$C$24/12,420,-'Calculadora'!$C$41,'Calculadora'!$C$40)),0))</f>
        <v/>
      </c>
    </row>
    <row r="41">
      <c r="A41" t="str">
        <f>IF(36&lt;=IF('Calculadora'!$C$40&gt;0,MAX(10,MIN(40,'Calculadora'!$C$25)),20),36,"")</f>
        <v/>
      </c>
      <c r="B41" s="20" t="str">
        <f>IF(A41="","",'Calculadora'!$C$8*(12-'Calculadora'!$C$18)*(1+'Calculadora'!$C$20)^(36-1))</f>
        <v/>
      </c>
      <c r="C41" s="20" t="str">
        <f>IF(A41="","",('Calculadora'!$C$13*12+'Calculadora'!$C$14+'Calculadora'!$C$15+'Calculadora'!$C$16*12+'Calculadora'!$C$17)*(1+'Calculadora'!$C$20)^(36-1))</f>
        <v/>
      </c>
      <c r="D41" s="20" t="str">
        <f>IF(A41="","",IF(AND('Calculadora'!$C$40&gt;0,36&lt;='Calculadora'!$C$25),IFERROR(-CUMIPMT('Calculadora'!$C$24/12,'Calculadora'!$C$25*12,'Calculadora'!$C$40,421,432,0),0),0))</f>
        <v/>
      </c>
      <c r="E41" s="20" t="str">
        <f>IF(A41="","",IF(AND('Calculadora'!$C$40&gt;0,36&lt;='Calculadora'!$C$25),'Calculadora'!$C$41*12,0))</f>
        <v/>
      </c>
      <c r="F41" s="20" t="str">
        <f>IF(A41="","",MAX(0,B41-C41-D41)*'Calculadora'!$C$19)</f>
        <v/>
      </c>
      <c r="G41" s="20" t="str">
        <f>IF(A41="","",B41-C41-F41-E41)</f>
        <v/>
      </c>
      <c r="H41" s="20" t="str">
        <f>IF(A41="","",N(H40)+G41)</f>
        <v/>
      </c>
      <c r="I41" s="20" t="str">
        <f>IF(A41="","",IF(AND('Calculadora'!$C$40&gt;0,36&lt;='Calculadora'!$C$25),MAX(0,-FV('Calculadora'!$C$24/12,432,-'Calculadora'!$C$41,'Calculadora'!$C$40)),0))</f>
        <v/>
      </c>
    </row>
    <row r="42">
      <c r="A42" t="str">
        <f>IF(37&lt;=IF('Calculadora'!$C$40&gt;0,MAX(10,MIN(40,'Calculadora'!$C$25)),20),37,"")</f>
        <v/>
      </c>
      <c r="B42" s="20" t="str">
        <f>IF(A42="","",'Calculadora'!$C$8*(12-'Calculadora'!$C$18)*(1+'Calculadora'!$C$20)^(37-1))</f>
        <v/>
      </c>
      <c r="C42" s="20" t="str">
        <f>IF(A42="","",('Calculadora'!$C$13*12+'Calculadora'!$C$14+'Calculadora'!$C$15+'Calculadora'!$C$16*12+'Calculadora'!$C$17)*(1+'Calculadora'!$C$20)^(37-1))</f>
        <v/>
      </c>
      <c r="D42" s="20" t="str">
        <f>IF(A42="","",IF(AND('Calculadora'!$C$40&gt;0,37&lt;='Calculadora'!$C$25),IFERROR(-CUMIPMT('Calculadora'!$C$24/12,'Calculadora'!$C$25*12,'Calculadora'!$C$40,433,444,0),0),0))</f>
        <v/>
      </c>
      <c r="E42" s="20" t="str">
        <f>IF(A42="","",IF(AND('Calculadora'!$C$40&gt;0,37&lt;='Calculadora'!$C$25),'Calculadora'!$C$41*12,0))</f>
        <v/>
      </c>
      <c r="F42" s="20" t="str">
        <f>IF(A42="","",MAX(0,B42-C42-D42)*'Calculadora'!$C$19)</f>
        <v/>
      </c>
      <c r="G42" s="20" t="str">
        <f>IF(A42="","",B42-C42-F42-E42)</f>
        <v/>
      </c>
      <c r="H42" s="20" t="str">
        <f>IF(A42="","",N(H41)+G42)</f>
        <v/>
      </c>
      <c r="I42" s="20" t="str">
        <f>IF(A42="","",IF(AND('Calculadora'!$C$40&gt;0,37&lt;='Calculadora'!$C$25),MAX(0,-FV('Calculadora'!$C$24/12,444,-'Calculadora'!$C$41,'Calculadora'!$C$40)),0))</f>
        <v/>
      </c>
    </row>
    <row r="43">
      <c r="A43" t="str">
        <f>IF(38&lt;=IF('Calculadora'!$C$40&gt;0,MAX(10,MIN(40,'Calculadora'!$C$25)),20),38,"")</f>
        <v/>
      </c>
      <c r="B43" s="20" t="str">
        <f>IF(A43="","",'Calculadora'!$C$8*(12-'Calculadora'!$C$18)*(1+'Calculadora'!$C$20)^(38-1))</f>
        <v/>
      </c>
      <c r="C43" s="20" t="str">
        <f>IF(A43="","",('Calculadora'!$C$13*12+'Calculadora'!$C$14+'Calculadora'!$C$15+'Calculadora'!$C$16*12+'Calculadora'!$C$17)*(1+'Calculadora'!$C$20)^(38-1))</f>
        <v/>
      </c>
      <c r="D43" s="20" t="str">
        <f>IF(A43="","",IF(AND('Calculadora'!$C$40&gt;0,38&lt;='Calculadora'!$C$25),IFERROR(-CUMIPMT('Calculadora'!$C$24/12,'Calculadora'!$C$25*12,'Calculadora'!$C$40,445,456,0),0),0))</f>
        <v/>
      </c>
      <c r="E43" s="20" t="str">
        <f>IF(A43="","",IF(AND('Calculadora'!$C$40&gt;0,38&lt;='Calculadora'!$C$25),'Calculadora'!$C$41*12,0))</f>
        <v/>
      </c>
      <c r="F43" s="20" t="str">
        <f>IF(A43="","",MAX(0,B43-C43-D43)*'Calculadora'!$C$19)</f>
        <v/>
      </c>
      <c r="G43" s="20" t="str">
        <f>IF(A43="","",B43-C43-F43-E43)</f>
        <v/>
      </c>
      <c r="H43" s="20" t="str">
        <f>IF(A43="","",N(H42)+G43)</f>
        <v/>
      </c>
      <c r="I43" s="20" t="str">
        <f>IF(A43="","",IF(AND('Calculadora'!$C$40&gt;0,38&lt;='Calculadora'!$C$25),MAX(0,-FV('Calculadora'!$C$24/12,456,-'Calculadora'!$C$41,'Calculadora'!$C$40)),0))</f>
        <v/>
      </c>
    </row>
    <row r="44">
      <c r="A44" t="str">
        <f>IF(39&lt;=IF('Calculadora'!$C$40&gt;0,MAX(10,MIN(40,'Calculadora'!$C$25)),20),39,"")</f>
        <v/>
      </c>
      <c r="B44" s="20" t="str">
        <f>IF(A44="","",'Calculadora'!$C$8*(12-'Calculadora'!$C$18)*(1+'Calculadora'!$C$20)^(39-1))</f>
        <v/>
      </c>
      <c r="C44" s="20" t="str">
        <f>IF(A44="","",('Calculadora'!$C$13*12+'Calculadora'!$C$14+'Calculadora'!$C$15+'Calculadora'!$C$16*12+'Calculadora'!$C$17)*(1+'Calculadora'!$C$20)^(39-1))</f>
        <v/>
      </c>
      <c r="D44" s="20" t="str">
        <f>IF(A44="","",IF(AND('Calculadora'!$C$40&gt;0,39&lt;='Calculadora'!$C$25),IFERROR(-CUMIPMT('Calculadora'!$C$24/12,'Calculadora'!$C$25*12,'Calculadora'!$C$40,457,468,0),0),0))</f>
        <v/>
      </c>
      <c r="E44" s="20" t="str">
        <f>IF(A44="","",IF(AND('Calculadora'!$C$40&gt;0,39&lt;='Calculadora'!$C$25),'Calculadora'!$C$41*12,0))</f>
        <v/>
      </c>
      <c r="F44" s="20" t="str">
        <f>IF(A44="","",MAX(0,B44-C44-D44)*'Calculadora'!$C$19)</f>
        <v/>
      </c>
      <c r="G44" s="20" t="str">
        <f>IF(A44="","",B44-C44-F44-E44)</f>
        <v/>
      </c>
      <c r="H44" s="20" t="str">
        <f>IF(A44="","",N(H43)+G44)</f>
        <v/>
      </c>
      <c r="I44" s="20" t="str">
        <f>IF(A44="","",IF(AND('Calculadora'!$C$40&gt;0,39&lt;='Calculadora'!$C$25),MAX(0,-FV('Calculadora'!$C$24/12,468,-'Calculadora'!$C$41,'Calculadora'!$C$40)),0))</f>
        <v/>
      </c>
    </row>
    <row r="45">
      <c r="A45" t="str">
        <f>IF(40&lt;=IF('Calculadora'!$C$40&gt;0,MAX(10,MIN(40,'Calculadora'!$C$25)),20),40,"")</f>
        <v/>
      </c>
      <c r="B45" s="20" t="str">
        <f>IF(A45="","",'Calculadora'!$C$8*(12-'Calculadora'!$C$18)*(1+'Calculadora'!$C$20)^(40-1))</f>
        <v/>
      </c>
      <c r="C45" s="20" t="str">
        <f>IF(A45="","",('Calculadora'!$C$13*12+'Calculadora'!$C$14+'Calculadora'!$C$15+'Calculadora'!$C$16*12+'Calculadora'!$C$17)*(1+'Calculadora'!$C$20)^(40-1))</f>
        <v/>
      </c>
      <c r="D45" s="20" t="str">
        <f>IF(A45="","",IF(AND('Calculadora'!$C$40&gt;0,40&lt;='Calculadora'!$C$25),IFERROR(-CUMIPMT('Calculadora'!$C$24/12,'Calculadora'!$C$25*12,'Calculadora'!$C$40,469,480,0),0),0))</f>
        <v/>
      </c>
      <c r="E45" s="20" t="str">
        <f>IF(A45="","",IF(AND('Calculadora'!$C$40&gt;0,40&lt;='Calculadora'!$C$25),'Calculadora'!$C$41*12,0))</f>
        <v/>
      </c>
      <c r="F45" s="20" t="str">
        <f>IF(A45="","",MAX(0,B45-C45-D45)*'Calculadora'!$C$19)</f>
        <v/>
      </c>
      <c r="G45" s="20" t="str">
        <f>IF(A45="","",B45-C45-F45-E45)</f>
        <v/>
      </c>
      <c r="H45" s="20" t="str">
        <f>IF(A45="","",N(H44)+G45)</f>
        <v/>
      </c>
      <c r="I45" s="20" t="str">
        <f>IF(A45="","",IF(AND('Calculadora'!$C$40&gt;0,40&lt;='Calculadora'!$C$25),MAX(0,-FV('Calculadora'!$C$24/12,480,-'Calculadora'!$C$41,'Calculadora'!$C$40)),0))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B15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110" customWidth="1" min="2" max="2"/>
  </cols>
  <sheetData>
    <row r="2">
      <c r="B2" s="21" t="inlineStr">
        <is>
          <t>Cómo se usa la plantilla de rentabilidad del alquiler</t>
        </is>
      </c>
    </row>
    <row r="4" ht="30" customHeight="1">
      <c r="B4" s="22" t="inlineStr">
        <is>
          <t>1. Escribe el precio, el alquiler y lo que te cuesta la compra y la reforma. Después, los gastos de cada mes y de cada año.</t>
        </is>
      </c>
    </row>
    <row r="5" ht="30" customHeight="1">
      <c r="B5" s="22" t="inlineStr">
        <is>
          <t>2. Rentabilidad bruta: alquiler de un año entre el precio. Rentabilidad neta: lo que ganas, ya quitados los gastos, entre todo lo que inviertes.</t>
        </is>
      </c>
    </row>
    <row r="6" ht="30" customHeight="1">
      <c r="B6" s="22" t="inlineStr">
        <is>
          <t>3. Si la compras con hipoteca, escribe su importe, el interés y el plazo: verás la rentabilidad sobre tu dinero y lo que te queda cada mes tras pagar la cuota.</t>
        </is>
      </c>
    </row>
    <row r="7" ht="15" customHeight="1">
      <c r="B7" s="22" t="inlineStr">
        <is>
          <t>4. En «Año a año» ves la proyección con la subida anual del alquiler y los gastos.</t>
        </is>
      </c>
    </row>
    <row r="9" ht="30" customHeight="1">
      <c r="B9" s="23" t="inlineStr">
        <is>
          <t>La rentabilidad neta no cuenta la hipoteca, para comparar viviendas entre sí. No incluye lo que pueda subir o bajar el precio de la vivienda.</t>
        </is>
      </c>
    </row>
    <row r="10" ht="30" customHeight="1">
      <c r="B10" s="23" t="inlineStr">
        <is>
          <t>Las celdas naranjas son las que puedes cambiar. Las demás llevan fórmulas: si las borras, la plantilla deja de calcular.</t>
        </is>
      </c>
    </row>
    <row r="11" ht="30" customHeight="1">
      <c r="B11" s="23" t="inlineStr">
        <is>
          <t>Funciona en Excel, en Google Sheets (súbela a Drive y ábrela con Hojas de cálculo) y en LibreOffice. No tiene macros.</t>
        </is>
      </c>
    </row>
    <row r="12" ht="15" customHeight="1">
      <c r="B12" s="23" t="inlineStr">
        <is>
          <t>Las cifras no llevan símbolo de moneda: sirve para euros, pesos, dólares o cualquier otra.</t>
        </is>
      </c>
    </row>
    <row r="13" ht="30" customHeight="1">
      <c r="B13" s="23" t="inlineStr">
        <is>
          <t>Es una estimación orientativa con las fórmulas habituales. Para una decisión importante, compara con la oferta o el contrato reales.</t>
        </is>
      </c>
    </row>
    <row r="15">
      <c r="B15" s="8" t="inlineStr">
        <is>
          <t>Calculadora online con estos mismos cálculos: skilio.com/calculadoras/rentabilidad-alquiler/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Skilio</dc:creator>
  <dc:title>Plantilla de rentabilidad de alquiler</dc:title>
  <dcterms:created xsi:type="dcterms:W3CDTF">2026-10-29T21:16:36Z</dcterms:created>
  <dcterms:modified xsi:type="dcterms:W3CDTF">2026-10-29T21:16:36Z</dcterms:modified>
</cp:coreProperties>
</file>